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6" sheetId="1" r:id="rId4"/>
    <sheet state="visible" name="2020.04.15" sheetId="2" r:id="rId5"/>
    <sheet state="visible" name="2020.04.14" sheetId="3" r:id="rId6"/>
    <sheet state="visible" name="2020.04.13" sheetId="4" r:id="rId7"/>
    <sheet state="visible" name="2020.04.12 " sheetId="5" r:id="rId8"/>
    <sheet state="visible" name="2020.04.11 " sheetId="6" r:id="rId9"/>
    <sheet state="visible" name="2020.04.10" sheetId="7" r:id="rId10"/>
    <sheet state="visible" name="2020.04.09" sheetId="8" r:id="rId11"/>
    <sheet state="visible" name="2020.04.08" sheetId="9" r:id="rId12"/>
    <sheet state="visible" name="2020.04.07" sheetId="10" r:id="rId13"/>
    <sheet state="visible" name="2020.04.06" sheetId="11" r:id="rId14"/>
    <sheet state="visible" name="2020.04.05" sheetId="12" r:id="rId15"/>
    <sheet state="visible" name="2020.04.04" sheetId="13" r:id="rId16"/>
    <sheet state="visible" name="2020.04.03" sheetId="14" r:id="rId17"/>
    <sheet state="visible" name="2020.04.02" sheetId="15" r:id="rId18"/>
    <sheet state="visible" name="2020.04.01" sheetId="16" r:id="rId19"/>
    <sheet state="visible" name="2020.03.31" sheetId="17" r:id="rId20"/>
    <sheet state="visible" name="2020.03.30" sheetId="18" r:id="rId21"/>
    <sheet state="visible" name="2020.03.29" sheetId="19" r:id="rId22"/>
    <sheet state="visible" name="2020.03.28" sheetId="20" r:id="rId23"/>
    <sheet state="visible" name="2020.03.27" sheetId="21" r:id="rId24"/>
    <sheet state="visible" name="2020.03.26" sheetId="22" r:id="rId25"/>
    <sheet state="visible" name="2020.03.25" sheetId="23" r:id="rId26"/>
    <sheet state="visible" name="2020.03.24" sheetId="24" r:id="rId27"/>
    <sheet state="visible" name="2020.03.23" sheetId="25" r:id="rId28"/>
    <sheet state="visible" name="2020.03.22" sheetId="26" r:id="rId29"/>
    <sheet state="visible" name="2020.03.21" sheetId="27" r:id="rId30"/>
    <sheet state="visible" name="2020.03.20" sheetId="28" r:id="rId31"/>
    <sheet state="visible" name="2020.03.19" sheetId="29" r:id="rId32"/>
    <sheet state="visible" name="2020.03.18" sheetId="30" r:id="rId33"/>
    <sheet state="visible" name="2020.03.17" sheetId="31" r:id="rId34"/>
    <sheet state="visible" name="2020.03.16" sheetId="32" r:id="rId35"/>
    <sheet state="visible" name="2020.03.15" sheetId="33" r:id="rId36"/>
    <sheet state="visible" name="2020.03.14" sheetId="34" r:id="rId37"/>
    <sheet state="visible" name="2020.03.13" sheetId="35" r:id="rId38"/>
    <sheet state="visible" name="2020.03.12" sheetId="36" r:id="rId39"/>
    <sheet state="visible" name="2020.03.11" sheetId="37" r:id="rId40"/>
    <sheet state="visible" name="2020.03.10" sheetId="38" r:id="rId41"/>
    <sheet state="visible" name="2020.03.09" sheetId="39" r:id="rId42"/>
    <sheet state="visible" name="2020.03.08" sheetId="40" r:id="rId43"/>
    <sheet state="visible" name="2020.03.07" sheetId="41" r:id="rId44"/>
    <sheet state="visible" name="2020.03.06" sheetId="42" r:id="rId45"/>
    <sheet state="visible" name="2020.03.03" sheetId="43" r:id="rId46"/>
    <sheet state="visible" name="2020.03.02" sheetId="44" r:id="rId47"/>
    <sheet state="visible" name="2020.03.01" sheetId="45" r:id="rId48"/>
    <sheet state="visible" name="2020.02.29" sheetId="46" r:id="rId49"/>
    <sheet state="visible" name="2020.02.28" sheetId="47" r:id="rId50"/>
    <sheet state="visible" name="2020.02.27" sheetId="48" r:id="rId51"/>
    <sheet state="visible" name="2020.02.26" sheetId="49" r:id="rId52"/>
    <sheet state="visible" name="2020.02.25" sheetId="50" r:id="rId53"/>
    <sheet state="visible" name="2020.02.24" sheetId="51" r:id="rId54"/>
    <sheet state="visible" name="2020.02.23" sheetId="52" r:id="rId55"/>
    <sheet state="visible" name="2020.02.22" sheetId="53" r:id="rId56"/>
    <sheet state="visible" name="2020.02.21" sheetId="54" r:id="rId57"/>
    <sheet state="visible" name="2020.02.20" sheetId="55" r:id="rId58"/>
    <sheet state="visible" name="2020.02.19" sheetId="56" r:id="rId59"/>
    <sheet state="visible" name="2020.02.18" sheetId="57" r:id="rId60"/>
    <sheet state="visible" name="2020.02.17" sheetId="58" r:id="rId61"/>
    <sheet state="visible" name="2020.02.16" sheetId="59" r:id="rId62"/>
    <sheet state="visible" name="2020.02.15" sheetId="60" r:id="rId63"/>
    <sheet state="visible" name="2020.02.14" sheetId="61" r:id="rId64"/>
    <sheet state="visible" name="2020.02.13" sheetId="62" r:id="rId65"/>
    <sheet state="visible" name="2020.02.12" sheetId="63" r:id="rId66"/>
    <sheet state="visible" name="2020.02.11" sheetId="64" r:id="rId67"/>
    <sheet state="visible" name="2020.02.10" sheetId="65" r:id="rId68"/>
    <sheet state="visible" name="2020.02.09" sheetId="66" r:id="rId69"/>
    <sheet state="visible" name="2020.02.08" sheetId="67" r:id="rId70"/>
    <sheet state="visible" name="2020.02.07" sheetId="68" r:id="rId71"/>
    <sheet state="visible" name="2020.02.06" sheetId="69" r:id="rId72"/>
    <sheet state="visible" name="2020.02.05" sheetId="70" r:id="rId73"/>
    <sheet state="visible" name="2020.02.04" sheetId="71" r:id="rId74"/>
    <sheet state="visible" name="2020.02.03" sheetId="72" r:id="rId75"/>
    <sheet state="visible" name="2020.02.02" sheetId="73" r:id="rId76"/>
    <sheet state="visible" name="2020.02.01" sheetId="74" r:id="rId77"/>
    <sheet state="visible" name="2020.01.31" sheetId="75" r:id="rId78"/>
    <sheet state="visible" name="2020.01.30" sheetId="76" r:id="rId79"/>
    <sheet state="visible" name="2020.01.29" sheetId="77" r:id="rId80"/>
    <sheet state="visible" name="2020.01.28" sheetId="78" r:id="rId81"/>
    <sheet state="visible" name="2020.01.27" sheetId="79" r:id="rId82"/>
    <sheet state="visible" name="2020.01.26" sheetId="80" r:id="rId83"/>
    <sheet state="visible" name="2020.01.25" sheetId="81" r:id="rId84"/>
    <sheet state="visible" name="2020.01.24" sheetId="82" r:id="rId85"/>
    <sheet state="visible" name="2020.01.23" sheetId="83" r:id="rId86"/>
    <sheet state="visible" name="2020.01.21" sheetId="84" r:id="rId87"/>
    <sheet state="visible" name="2020.01.20" sheetId="85" r:id="rId88"/>
    <sheet state="visible" name="2020.01.19" sheetId="86" r:id="rId89"/>
    <sheet state="visible" name="2020.01.18" sheetId="87" r:id="rId90"/>
    <sheet state="visible" name="2020.01.17" sheetId="88" r:id="rId91"/>
    <sheet state="visible" name="2020.01.16" sheetId="89" r:id="rId92"/>
    <sheet state="visible" name="2020.01.15" sheetId="90" r:id="rId93"/>
    <sheet state="visible" name="2020.01.14" sheetId="91" r:id="rId94"/>
    <sheet state="visible" name="2020.01.13" sheetId="92" r:id="rId95"/>
    <sheet state="visible" name="2020.01.12" sheetId="93" r:id="rId96"/>
    <sheet state="visible" name="2020.01.11" sheetId="94" r:id="rId97"/>
    <sheet state="visible" name="2020.01.10" sheetId="95" r:id="rId98"/>
    <sheet state="visible" name="2020.01.09" sheetId="96" r:id="rId99"/>
    <sheet state="visible" name="2020.01.08" sheetId="97" r:id="rId100"/>
    <sheet state="visible" name="2020.01.07" sheetId="98" r:id="rId101"/>
    <sheet state="visible" name="2020.01.06" sheetId="99" r:id="rId102"/>
    <sheet state="visible" name="2020.01.05" sheetId="100" r:id="rId103"/>
    <sheet state="visible" name="2020.01.04" sheetId="101" r:id="rId104"/>
    <sheet state="visible" name="2020.01.03" sheetId="102" r:id="rId105"/>
    <sheet state="visible" name="2020.01.02" sheetId="103" r:id="rId106"/>
    <sheet state="visible" name="2020.01.01" sheetId="104" r:id="rId107"/>
    <sheet state="visible" name="расписание ФИФА 03.12 (копия)" sheetId="105" r:id="rId108"/>
    <sheet state="visible" name="расписание ФИФА 03.18 (копия)" sheetId="106" r:id="rId109"/>
  </sheets>
  <definedNames/>
  <calcPr/>
</workbook>
</file>

<file path=xl/sharedStrings.xml><?xml version="1.0" encoding="utf-8"?>
<sst xmlns="http://schemas.openxmlformats.org/spreadsheetml/2006/main" count="28535" uniqueCount="1972">
  <si>
    <t>France Cyber Stars League 8:00 - 11:00</t>
  </si>
  <si>
    <t>Italy Cyber Stars League 8:00 - 11:00</t>
  </si>
  <si>
    <t>England Cyber Stars League 8:00 - 11:00</t>
  </si>
  <si>
    <t>Player (Blue)</t>
  </si>
  <si>
    <t>Match results</t>
  </si>
  <si>
    <t>Player (Red)</t>
  </si>
  <si>
    <t>Video</t>
  </si>
  <si>
    <t>PSG (SpursMax)</t>
  </si>
  <si>
    <t>Sassuolo (HBK)</t>
  </si>
  <si>
    <t>Newcastle United (CarlWhizzer)</t>
  </si>
  <si>
    <t>2 - 0 (1 - 0)</t>
  </si>
  <si>
    <t>1 - 5 (1 - 3)</t>
  </si>
  <si>
    <t>Aston Villa (Jenko)</t>
  </si>
  <si>
    <t>Sampdoria (dzekon)</t>
  </si>
  <si>
    <t>Monaco (dzekon)</t>
  </si>
  <si>
    <t>Bournemouth (Mistyeye)</t>
  </si>
  <si>
    <t>Lyon (Mistyeye)</t>
  </si>
  <si>
    <t>Fiorentina (Mistyeye)</t>
  </si>
  <si>
    <t>3 - 1 (1 - 1)</t>
  </si>
  <si>
    <t>Crystal Palace (Smile)</t>
  </si>
  <si>
    <t>4 - 2 (2 - 1)</t>
  </si>
  <si>
    <t>Montpellier (Jenko)</t>
  </si>
  <si>
    <t>Parma (Smile)</t>
  </si>
  <si>
    <t>Marseille (NicolasRage)</t>
  </si>
  <si>
    <t>3 - 0 (1 - 0)</t>
  </si>
  <si>
    <t>Southampton (NicolasRage)</t>
  </si>
  <si>
    <t>channel 1</t>
  </si>
  <si>
    <t>3 - 2 (1 - 0)</t>
  </si>
  <si>
    <t>channel 2</t>
  </si>
  <si>
    <t>Udinese (NicolasRage)</t>
  </si>
  <si>
    <t>0 - 3 (0 - 2)</t>
  </si>
  <si>
    <t>2 - 3 (1 - 0)</t>
  </si>
  <si>
    <t>1 - 0 (0 - 0)</t>
  </si>
  <si>
    <t>1 - 4 (1 - 1)</t>
  </si>
  <si>
    <t>1 - 1 (0 - 0)</t>
  </si>
  <si>
    <t>3 - 1 (1 - 0)</t>
  </si>
  <si>
    <t>2 - 3 (1 - 3)</t>
  </si>
  <si>
    <t>1 - 1 (0 - 1)</t>
  </si>
  <si>
    <t>4 - 1 (2 - 1)</t>
  </si>
  <si>
    <t>1 - 2 (2 - 0)</t>
  </si>
  <si>
    <t>2 - 4 (1 - 3)</t>
  </si>
  <si>
    <t>Germany Cyber Stars League 11:00 - 14:00</t>
  </si>
  <si>
    <t>2 - 2 (0 - 1)</t>
  </si>
  <si>
    <t>3 - 2 (3 - 1)</t>
  </si>
  <si>
    <t>1 - 3 (1 - 2)</t>
  </si>
  <si>
    <t>4 - 4 (3 - 3)</t>
  </si>
  <si>
    <t>0 - 1 (0 - 1)</t>
  </si>
  <si>
    <t>1 - 1 (1 - 0)</t>
  </si>
  <si>
    <t>Bayer 04 (CarlWhizzer)</t>
  </si>
  <si>
    <t>1 - 0 (1 - 0)</t>
  </si>
  <si>
    <t>Borussia Dortmund (Jenko)</t>
  </si>
  <si>
    <t>RB Leipzig (Mistyeye)</t>
  </si>
  <si>
    <t>Borussia Monchengladbach (Smile)</t>
  </si>
  <si>
    <t>FC Bayern (NicolasRage)</t>
  </si>
  <si>
    <t>1 - 5 (0 - 4)</t>
  </si>
  <si>
    <t>0 - 4 (0 - 3)</t>
  </si>
  <si>
    <t>3 - 2 (1 - 2)</t>
  </si>
  <si>
    <t>2 - 3 (0 - 2)</t>
  </si>
  <si>
    <t>cancelled</t>
  </si>
  <si>
    <t>1 - 2 (0 - 1)</t>
  </si>
  <si>
    <t>France Cyber Stars League 12:00 - 15:00</t>
  </si>
  <si>
    <t>3 - 2 (2 - 0)</t>
  </si>
  <si>
    <t>Monaco (forest**)</t>
  </si>
  <si>
    <t>PSG (Sambo)</t>
  </si>
  <si>
    <t>Cyber World Cup 11:00 - 14:00</t>
  </si>
  <si>
    <t>Lyon (ReadingClub)</t>
  </si>
  <si>
    <t>Montpellier (Walker)</t>
  </si>
  <si>
    <t>England (HBK)</t>
  </si>
  <si>
    <t>Marseille (REM)</t>
  </si>
  <si>
    <t>4 - 2 (0 - 0)</t>
  </si>
  <si>
    <t>Netherlands (dzekon)</t>
  </si>
  <si>
    <t>channel 3</t>
  </si>
  <si>
    <t>channel 4</t>
  </si>
  <si>
    <t>Uruguay (Mistyeye)</t>
  </si>
  <si>
    <t>2 - 0 (0 - 0)</t>
  </si>
  <si>
    <t>FC Bayern (SpursMax)</t>
  </si>
  <si>
    <t>Italy (Smile)</t>
  </si>
  <si>
    <t>1 - 3 (0 - 1)</t>
  </si>
  <si>
    <t>Borussia Monchengladbach (dzekon)</t>
  </si>
  <si>
    <t>Spain (NicolasRage)</t>
  </si>
  <si>
    <t>0 - 6 (0 - 2)</t>
  </si>
  <si>
    <t>Bayer 04 (Jenko)</t>
  </si>
  <si>
    <t>3 - 3 (2 - 1)</t>
  </si>
  <si>
    <t>Borussia Dortmund (NicolasRage)</t>
  </si>
  <si>
    <t>2 - 0 (2 - 0)</t>
  </si>
  <si>
    <t>4 - 0 (3 - 0)</t>
  </si>
  <si>
    <t>5 - 4 (2 - 3)</t>
  </si>
  <si>
    <t>2 - 4 (1 - 1)</t>
  </si>
  <si>
    <t>3 - 1 (0 - 1)</t>
  </si>
  <si>
    <t>2 - 1 (2 - 1)</t>
  </si>
  <si>
    <t>2 - 1 (0 - 1)</t>
  </si>
  <si>
    <t>Italy Cyber Stars League 15:00 - 18:00</t>
  </si>
  <si>
    <t>Napoli (forest**)</t>
  </si>
  <si>
    <t>0 - 4 (0 - 2)</t>
  </si>
  <si>
    <t>1 - 5 (1 - 1)</t>
  </si>
  <si>
    <t>Juventus (Sambo)</t>
  </si>
  <si>
    <t>Inter (ReadingClub)</t>
  </si>
  <si>
    <t>0 - 1 (0 - 0)</t>
  </si>
  <si>
    <t>Lazio (Walker)</t>
  </si>
  <si>
    <t>2 - 1 (1 - 1)</t>
  </si>
  <si>
    <t>Milan (REM)</t>
  </si>
  <si>
    <t>4 - 1 (1 - 1)</t>
  </si>
  <si>
    <t>1 - 5 (0 - 3)</t>
  </si>
  <si>
    <t>2 - 2 (1 - 1)</t>
  </si>
  <si>
    <t>1 - 2 (1 - 1)</t>
  </si>
  <si>
    <t>2 - 5 (1 - 3)</t>
  </si>
  <si>
    <t>0 - 2 (0 - 0)</t>
  </si>
  <si>
    <t>2 - 4 (1 - 0)</t>
  </si>
  <si>
    <t>0 - 2 (0 - 1)</t>
  </si>
  <si>
    <t>1 - 1 (1 - 1)</t>
  </si>
  <si>
    <t>1 - 4 (1 - 3)</t>
  </si>
  <si>
    <t>4 - 0 (1 - 0)</t>
  </si>
  <si>
    <t>Spain Cyber Stars League 14:00 - 17:00</t>
  </si>
  <si>
    <t>2 - 2 (2 - 0)</t>
  </si>
  <si>
    <t>Barcelona (LiveStrong)</t>
  </si>
  <si>
    <t>Valencia (mrPanda)</t>
  </si>
  <si>
    <t>2 - 4 (0 - 3)</t>
  </si>
  <si>
    <t>2 - 2 (1 - 2)</t>
  </si>
  <si>
    <t>Real Madrid (HBK)</t>
  </si>
  <si>
    <t>Sevilla (Smile)</t>
  </si>
  <si>
    <t>Atletico Madrid (NicolasRage)</t>
  </si>
  <si>
    <t>Italy Cyber Stars League 12:00 - 15:00</t>
  </si>
  <si>
    <t>Spain Cyber Stars League 12:00 - 15:00</t>
  </si>
  <si>
    <t>Napoli (Poss)</t>
  </si>
  <si>
    <t>3 - 0 (2 - 0)</t>
  </si>
  <si>
    <t>Atletico Madrid (forest**)</t>
  </si>
  <si>
    <t>Real Madrid (Phantom)</t>
  </si>
  <si>
    <t>4 - 2 (2 - 2)</t>
  </si>
  <si>
    <t>Milan (Ishking11)</t>
  </si>
  <si>
    <t>Valencia (ReadingClub)</t>
  </si>
  <si>
    <t>Barcelona (Ryuk)</t>
  </si>
  <si>
    <t>Sevilla (REM)</t>
  </si>
  <si>
    <t>4 - 1 (1 - 0)</t>
  </si>
  <si>
    <t>4 - 3 (2 - 2)</t>
  </si>
  <si>
    <t>Cyber Champions League 17:00 - 20:00</t>
  </si>
  <si>
    <t>2 - 2 (2 - 1)</t>
  </si>
  <si>
    <t>Juventus (LiveStrong)</t>
  </si>
  <si>
    <t>Barcelona (mrPanda)</t>
  </si>
  <si>
    <t>2 - 1 (2 - 0)</t>
  </si>
  <si>
    <t>PSG (HBK)</t>
  </si>
  <si>
    <t>Liverpool (Smile)</t>
  </si>
  <si>
    <t>2 - 1 (1 - 0)</t>
  </si>
  <si>
    <t>5 - 0 (3 - 0)</t>
  </si>
  <si>
    <t>1 - 3 (1 - 1)</t>
  </si>
  <si>
    <t>3 - 0 (3 - 0)</t>
  </si>
  <si>
    <t>0 - 0 (0 - 0)</t>
  </si>
  <si>
    <t>1 - 4 (0 - 3)</t>
  </si>
  <si>
    <t>Cyber World Cup 18:00 - 21:00</t>
  </si>
  <si>
    <t>0 - 3 (0 - 1)</t>
  </si>
  <si>
    <t>Denmark (forest**)</t>
  </si>
  <si>
    <t>Switzerland (Sambo)</t>
  </si>
  <si>
    <t>Mexico (ReadingClub)</t>
  </si>
  <si>
    <t>2 - 5 (2 - 2)</t>
  </si>
  <si>
    <t>Turkey (Walker)</t>
  </si>
  <si>
    <t>Austria (REM)</t>
  </si>
  <si>
    <t>3 - 0 (0 - 2)</t>
  </si>
  <si>
    <t>3 - 1 (2 - 1)</t>
  </si>
  <si>
    <t>1 - 2 (0 - 2)</t>
  </si>
  <si>
    <t>Germany Cyber Stars League 15:00 - 18:00</t>
  </si>
  <si>
    <t>Borussia Monchengladbach (forest**)</t>
  </si>
  <si>
    <t>1 - 3 (0 - 2)</t>
  </si>
  <si>
    <t>FC Bayern (Phantom)</t>
  </si>
  <si>
    <t>RB Leipzig (ReadingClub)</t>
  </si>
  <si>
    <t>3 - 3 (0 - 1)</t>
  </si>
  <si>
    <t>Borussia Dortmund (Ryuk)</t>
  </si>
  <si>
    <t>Cyber Europa League 21:00 - 24:00</t>
  </si>
  <si>
    <t>Bayer 04 (REM)</t>
  </si>
  <si>
    <t>CSKA Moscow (forest**)</t>
  </si>
  <si>
    <t>4 - 1 (4 - 0)</t>
  </si>
  <si>
    <t>Celtic (Sambo)</t>
  </si>
  <si>
    <t>England Cyber Stars League 15:00 - 18:00</t>
  </si>
  <si>
    <t>Sporting (ReadingClub)</t>
  </si>
  <si>
    <t>Dynamo Kyiv (Walker)</t>
  </si>
  <si>
    <t>Gent (REM)</t>
  </si>
  <si>
    <t>Leicester (Poss)</t>
  </si>
  <si>
    <t>Everton (Sambo)</t>
  </si>
  <si>
    <t>Watford (ReadingClub)</t>
  </si>
  <si>
    <t>West Ham United (Ishking11)</t>
  </si>
  <si>
    <t>Wolverhampton (Walker)</t>
  </si>
  <si>
    <t>1 - 2 (0 - 0)</t>
  </si>
  <si>
    <t>4 - 0 (2 - 0)</t>
  </si>
  <si>
    <t>England Cyber Stars League 20:00 - 23:00</t>
  </si>
  <si>
    <t>Liverpool (Ryuk)</t>
  </si>
  <si>
    <t>Tottenham (Indra13_27)</t>
  </si>
  <si>
    <t>1 - 3 (0 - 0)</t>
  </si>
  <si>
    <t>Manchester United (Den1Bravo)</t>
  </si>
  <si>
    <t>Manchester City (Baphomet)</t>
  </si>
  <si>
    <t>Arsenal (hopkins)</t>
  </si>
  <si>
    <t>0 - 3 (0 - 0)</t>
  </si>
  <si>
    <t>1 - 5 (1 - 4)</t>
  </si>
  <si>
    <t>1 - 5 (1 - 2)</t>
  </si>
  <si>
    <t>4 - 3 (2 - 1)</t>
  </si>
  <si>
    <t>2 - 5 (2 - 1)</t>
  </si>
  <si>
    <t>2 - 4 (1 - 2)</t>
  </si>
  <si>
    <t>1 - 4 (0 - 1)</t>
  </si>
  <si>
    <t>Cyber Champions League 23:00 - 02:00</t>
  </si>
  <si>
    <t>3 - 3 (3 - 1)</t>
  </si>
  <si>
    <t>Ajax (Ryuk)</t>
  </si>
  <si>
    <t>Bayer 04 (Indra13_27)</t>
  </si>
  <si>
    <t>Atalanta (Den1Bravo)</t>
  </si>
  <si>
    <t>Valencia (Baphomet)</t>
  </si>
  <si>
    <t>Benfica (hopkins)</t>
  </si>
  <si>
    <t>England Cyber Stars League 14:00 - 17:00</t>
  </si>
  <si>
    <t>Chelsea (HBK)</t>
  </si>
  <si>
    <t>1 - 3 (1 - 0)</t>
  </si>
  <si>
    <t>Manchester City (dzekon)</t>
  </si>
  <si>
    <t>5 - 2 (3 - 2)</t>
  </si>
  <si>
    <t>Tottenham (SpursMax)</t>
  </si>
  <si>
    <t>Manchester United (Smile)</t>
  </si>
  <si>
    <t>Liverpool (NicolasRage)</t>
  </si>
  <si>
    <t>5 - 0 (2 - 0)</t>
  </si>
  <si>
    <t>3 - 4 (1 - 3)</t>
  </si>
  <si>
    <t>1 - 4 (0 - 2)</t>
  </si>
  <si>
    <t>2 - 3 (1 - 2)</t>
  </si>
  <si>
    <t>3 - 2 (2 - 1)</t>
  </si>
  <si>
    <t>Valencia (LiveStrong)</t>
  </si>
  <si>
    <t>3 - 2 (1 - 1)</t>
  </si>
  <si>
    <t>Real Betis (dzekon)</t>
  </si>
  <si>
    <t>4 - 2 (2 - 0)</t>
  </si>
  <si>
    <t>0 - 6 (0 - 4)</t>
  </si>
  <si>
    <t>Atletico Madrid (HBK)</t>
  </si>
  <si>
    <t>Barcelona (Jenko)</t>
  </si>
  <si>
    <t>Real Madrid (NicolasRage)</t>
  </si>
  <si>
    <t>1 - 2 (1 - 2)</t>
  </si>
  <si>
    <t>6 - 1 (4 - 0)</t>
  </si>
  <si>
    <t>2 - 3 (0 - 1)</t>
  </si>
  <si>
    <t>2 - 3 (2 - 2)</t>
  </si>
  <si>
    <t>5 - 5 (2 - 3)</t>
  </si>
  <si>
    <t>5 - 1 (2 - 1)</t>
  </si>
  <si>
    <t>Cyber Europa League 17:00 - 20:00</t>
  </si>
  <si>
    <t>5 - 4 (3 - 2)</t>
  </si>
  <si>
    <t>Dynamo Kyiv (HBK)</t>
  </si>
  <si>
    <t>2 - 3 (1 - 1)</t>
  </si>
  <si>
    <t>Gent (dzekon)</t>
  </si>
  <si>
    <t>Celtic (SpursMax)</t>
  </si>
  <si>
    <t>Eintracht (Smile)</t>
  </si>
  <si>
    <t>Shakhtar Donetsk (NicolasRage)</t>
  </si>
  <si>
    <t>4 - 1 (3 - 0)</t>
  </si>
  <si>
    <t>3 - 4 (3 - 3)</t>
  </si>
  <si>
    <t>6 - 2 (3 - 1)</t>
  </si>
  <si>
    <t>Cyber World Cup 17:00 - 20:00</t>
  </si>
  <si>
    <t>5 - 1 (3 - 0)</t>
  </si>
  <si>
    <t>Denmark (LiveStrong)</t>
  </si>
  <si>
    <t>Switzerland (dzekon)</t>
  </si>
  <si>
    <t>6 - 0 (0 - 0)</t>
  </si>
  <si>
    <t>Mexico (HBK)</t>
  </si>
  <si>
    <t>5 - 1 (4 - 1)</t>
  </si>
  <si>
    <t>Poland (Jenko)</t>
  </si>
  <si>
    <t>Austria (NicolasRage)</t>
  </si>
  <si>
    <t>6 - 3 (2 - 3)</t>
  </si>
  <si>
    <t>6 - 5 (3 - 2)</t>
  </si>
  <si>
    <t>5 - 2 (1 - 1)</t>
  </si>
  <si>
    <t>Cyber Champions League 18:00 - 21:00</t>
  </si>
  <si>
    <t>Borussia Dortmund (Phantom)</t>
  </si>
  <si>
    <t>Manchester City (Ryuk)</t>
  </si>
  <si>
    <t>2 - 4 (0 - 2)</t>
  </si>
  <si>
    <t>Napoli (REM)</t>
  </si>
  <si>
    <t>4 - 2 (3 - 0)</t>
  </si>
  <si>
    <t>4 - 3 (0 - 2)</t>
  </si>
  <si>
    <t>7 - 4 (3 - 1)</t>
  </si>
  <si>
    <t>3 - 5 (1 - 4)</t>
  </si>
  <si>
    <t>6 - 1 (2 - 1)</t>
  </si>
  <si>
    <t>Atalanta (Poss)</t>
  </si>
  <si>
    <t>Valencia (Sambo)</t>
  </si>
  <si>
    <t>Benfica (ReadingClub)</t>
  </si>
  <si>
    <t>5 - 2 (2 - 1)</t>
  </si>
  <si>
    <t>Atletico Madrid (Ishking11)</t>
  </si>
  <si>
    <t>Bayer 04 (Walker)</t>
  </si>
  <si>
    <t>2 - 5 (2 - 3)</t>
  </si>
  <si>
    <t>Italy Cyber Stars League 21:00 - 24:00</t>
  </si>
  <si>
    <t>Inter (forest**)</t>
  </si>
  <si>
    <t>Milan (Phantom)</t>
  </si>
  <si>
    <t>1 - 3 (0 - 3)</t>
  </si>
  <si>
    <t>Atalanta (ReadingClub)</t>
  </si>
  <si>
    <t>Roma (Ryuk)</t>
  </si>
  <si>
    <t>Torino (REM)</t>
  </si>
  <si>
    <t>6 - 1 (3 - 1)</t>
  </si>
  <si>
    <t>2 - 3 (2 - 1)</t>
  </si>
  <si>
    <t>3 - 1 (2 - 0)</t>
  </si>
  <si>
    <t>3 - 6 (3 - 2)</t>
  </si>
  <si>
    <t>3 - 5 (1 - 3)</t>
  </si>
  <si>
    <t>3 - 3 (1 - 2)</t>
  </si>
  <si>
    <t>Manchester United (Poss)</t>
  </si>
  <si>
    <t>3 - 5 (1 - 1)</t>
  </si>
  <si>
    <t>Inter (Sambo)</t>
  </si>
  <si>
    <t>4 - 2 (3 - 1)</t>
  </si>
  <si>
    <t>Lazio (ReadingClub)</t>
  </si>
  <si>
    <t>Spain Cyber Stars League 20:00 - 23:00</t>
  </si>
  <si>
    <t>Bayer 04 (Ishking11)</t>
  </si>
  <si>
    <t>Real Betis (folen)</t>
  </si>
  <si>
    <t>Getafe (Indra13_27)</t>
  </si>
  <si>
    <t>Sevilla (Walker)</t>
  </si>
  <si>
    <t>Villarreal (Den1Bravo)</t>
  </si>
  <si>
    <t>Valladolid (Baphomet)</t>
  </si>
  <si>
    <t>Athletic Club (Dimario91)</t>
  </si>
  <si>
    <t>5 - 3 (1 - 3)</t>
  </si>
  <si>
    <t>0 - 3 (0 - 3)</t>
  </si>
  <si>
    <t>5 - 1 (3 - 1)</t>
  </si>
  <si>
    <t>5 - 2 (1 - 2)</t>
  </si>
  <si>
    <t>Spain Cyber Stars League 8:00 - 11:00</t>
  </si>
  <si>
    <t>Atletico Madrid (CarlWhizzer)</t>
  </si>
  <si>
    <t>Sevilla (dzekon)</t>
  </si>
  <si>
    <t>Barcelona (Mistyeye)</t>
  </si>
  <si>
    <t>Valencia (Smile)</t>
  </si>
  <si>
    <t>2 - 2 (0 - 2)</t>
  </si>
  <si>
    <t>2 - 3 (0 - 0)</t>
  </si>
  <si>
    <t>5 - 1 (3  - 1)</t>
  </si>
  <si>
    <t>2 - 4 (2 - 2)</t>
  </si>
  <si>
    <t>5 - 0 (1 - 0)</t>
  </si>
  <si>
    <t>3 - 1 (3 - 0)</t>
  </si>
  <si>
    <t>3 - 3 (0 - 2)</t>
  </si>
  <si>
    <t>4 - 1 (2 - 0)</t>
  </si>
  <si>
    <t>Manchester City (folen)</t>
  </si>
  <si>
    <t>Chelsea (Indra13_27)</t>
  </si>
  <si>
    <t>Tottenham (Den1Bravo)</t>
  </si>
  <si>
    <t>Manchester United (forest**)</t>
  </si>
  <si>
    <t>5 - 3 (3 - 1)</t>
  </si>
  <si>
    <t>Liverpool (Dimario91)</t>
  </si>
  <si>
    <t>5 - 2 (3 - 1)</t>
  </si>
  <si>
    <t>1 - 4 (1 - 2)</t>
  </si>
  <si>
    <t>Cyber World Cup 23:00 - 02:00</t>
  </si>
  <si>
    <t>Brazil (folen)</t>
  </si>
  <si>
    <t>1 - 2 (1 - 0)</t>
  </si>
  <si>
    <t>Germany (Indra13_27)</t>
  </si>
  <si>
    <t>France (Den1Bravo)</t>
  </si>
  <si>
    <t>Portugal (Baphomet)</t>
  </si>
  <si>
    <t>2 - 4 (2 - 0)</t>
  </si>
  <si>
    <t>Belgium (Dimario91)</t>
  </si>
  <si>
    <t>1 - 5 (0 - 2)</t>
  </si>
  <si>
    <t>Italy Cyber Stars League 11:00 - 14:00</t>
  </si>
  <si>
    <t>Roma (CarlWhizzer)</t>
  </si>
  <si>
    <t>4 - 6 (1 - 3)</t>
  </si>
  <si>
    <t>3 - 3 (1 - 0)</t>
  </si>
  <si>
    <t>Atalanta (dzekon)</t>
  </si>
  <si>
    <t>Torino (Mistyeye)</t>
  </si>
  <si>
    <t>Inter (Smile)</t>
  </si>
  <si>
    <t>Milan (NicolasRage)</t>
  </si>
  <si>
    <t>0 - 2 (0 - 2)</t>
  </si>
  <si>
    <t>4 - 3 (1 - 1)</t>
  </si>
  <si>
    <t>0 - 5 (0 - 4)</t>
  </si>
  <si>
    <t>4 - 2 (1 - 2)</t>
  </si>
  <si>
    <t>Cyber Copa America 23:00 - 02:00</t>
  </si>
  <si>
    <t>Colombia (Indra13_27)</t>
  </si>
  <si>
    <t>3 - 3 (2 - 2)</t>
  </si>
  <si>
    <t>Argentina (Den1Bravo)</t>
  </si>
  <si>
    <t>Chile (forest**)</t>
  </si>
  <si>
    <t>Uruguay (Dimario91)</t>
  </si>
  <si>
    <t>3 - 2 (2 - 2)</t>
  </si>
  <si>
    <t xml:space="preserve"> 2 - 1 (0 - 1)</t>
  </si>
  <si>
    <t>England Cyber Stars League 12:00 - 15:00</t>
  </si>
  <si>
    <t>4 - 2 (1 - 1)</t>
  </si>
  <si>
    <t>Manchester City (Poss)</t>
  </si>
  <si>
    <t>Manchester United (Walker)</t>
  </si>
  <si>
    <t>1 - 4 (1 - 4)</t>
  </si>
  <si>
    <t>Tottenham (ReadingClub)</t>
  </si>
  <si>
    <t>Liverpool (Sambo)</t>
  </si>
  <si>
    <t>Chelsea (Ishking11)</t>
  </si>
  <si>
    <t>0 - 7 (0 - 2)</t>
  </si>
  <si>
    <t>1 - 3 (1 - 3)</t>
  </si>
  <si>
    <t>3 - 8 (1 - 6)</t>
  </si>
  <si>
    <t>6 - 2 (2 - 2)</t>
  </si>
  <si>
    <t>0 - 8 (0 - 3)</t>
  </si>
  <si>
    <t>1 - 4 (0 - 0)</t>
  </si>
  <si>
    <t>5 - 4 (2 - 1)</t>
  </si>
  <si>
    <t>3 - 6 (1 - 3)</t>
  </si>
  <si>
    <t>6 - 0 (3 - 0)</t>
  </si>
  <si>
    <t>Cyber World Cup 15:00 - 18:00</t>
  </si>
  <si>
    <t>France (Poss)</t>
  </si>
  <si>
    <t>Argentina (Walker)</t>
  </si>
  <si>
    <t>Belgium (ReadingClub)</t>
  </si>
  <si>
    <t>Brazil (Sambo)</t>
  </si>
  <si>
    <t>Germany (Ishking11)</t>
  </si>
  <si>
    <t>2 - 5 (1 - 2)</t>
  </si>
  <si>
    <t>0 - 4 (0 - 4)</t>
  </si>
  <si>
    <t>5 - 2 (5 - 0)</t>
  </si>
  <si>
    <t>5 - 1 (2 - 0)</t>
  </si>
  <si>
    <t>6 - 2 (2 - 0)</t>
  </si>
  <si>
    <t>Germany Cyber Stars League 14:00 - 17:00</t>
  </si>
  <si>
    <t>Eintracht (LiveStrong)</t>
  </si>
  <si>
    <t>Werder Bremen (dzekon)</t>
  </si>
  <si>
    <t>Koln (HBK)</t>
  </si>
  <si>
    <t>Wolfsburg (Smile)</t>
  </si>
  <si>
    <t>Hoffenheim (NicolasRage)</t>
  </si>
  <si>
    <t>2 - 3 (0 - 3)</t>
  </si>
  <si>
    <t>2 - 2 (0 - 0)</t>
  </si>
  <si>
    <t>3 - 2 (3 - 2)</t>
  </si>
  <si>
    <t>England Cyber Stars League 17:00 - 20:00</t>
  </si>
  <si>
    <t>Leicester (LiveStrong)</t>
  </si>
  <si>
    <t>Everton (dzekon)</t>
  </si>
  <si>
    <t>Watford (HBK)</t>
  </si>
  <si>
    <t>West Ham United (Smile)</t>
  </si>
  <si>
    <t>Wolverhampton (NicolasRage)</t>
  </si>
  <si>
    <t>3 - 4 (2 - 1)</t>
  </si>
  <si>
    <t>0 - 5 (0 - 1)</t>
  </si>
  <si>
    <t>3 - 4 (2 - 4)</t>
  </si>
  <si>
    <t>4 - 2 (1 - 0)</t>
  </si>
  <si>
    <t>2 - 10 (1 - 4)</t>
  </si>
  <si>
    <t>2 - 4 (0 - 1)</t>
  </si>
  <si>
    <t>1 - 6 (0 - 4)</t>
  </si>
  <si>
    <t>3 - 4 (0 - 1)</t>
  </si>
  <si>
    <t>Juventus (Poss)</t>
  </si>
  <si>
    <t>FC Bayern (Walker)</t>
  </si>
  <si>
    <t>Manchester City (ReadingClub)</t>
  </si>
  <si>
    <t>Barcelona (Sambo)</t>
  </si>
  <si>
    <t>PSG (Ishking11)</t>
  </si>
  <si>
    <t>1 - 6 (1 - 2)</t>
  </si>
  <si>
    <t>7 - 1 (3 - 1)</t>
  </si>
  <si>
    <t>5 - 1(1 - 1)</t>
  </si>
  <si>
    <t>6 - 2 (3 - 0)</t>
  </si>
  <si>
    <t>Germany Cyber Stars League 21:00 - 24:00</t>
  </si>
  <si>
    <t>FC Bayern (Poss)</t>
  </si>
  <si>
    <t>Borussia Monchengladbach (Walker)</t>
  </si>
  <si>
    <t>Bayer 04 (Sambo)</t>
  </si>
  <si>
    <t>Borussia Dortmund (Ishking11)</t>
  </si>
  <si>
    <t>0 - 7 (0 - 4)</t>
  </si>
  <si>
    <t>11 - 3 (7 - 0)</t>
  </si>
  <si>
    <t>0 - 1(0 - 0)</t>
  </si>
  <si>
    <t>Chelsea (Smile)</t>
  </si>
  <si>
    <t>0 - 6 (0 - 3)</t>
  </si>
  <si>
    <t>Manchester City (MOSDEF)</t>
  </si>
  <si>
    <t>1 - 6 (1 - 4)</t>
  </si>
  <si>
    <t>Liverpool (Phantom)</t>
  </si>
  <si>
    <t>1 - 3 (2 - 0)</t>
  </si>
  <si>
    <t>3 - 4 (1 - 1)</t>
  </si>
  <si>
    <t>3 - 1(1 - 1)</t>
  </si>
  <si>
    <t>France Cyber Stars League 20:00 - 23:00</t>
  </si>
  <si>
    <t>PSG (folen)</t>
  </si>
  <si>
    <t>Monaco (Ryuk)</t>
  </si>
  <si>
    <t>Lyon (Den1Bravo)</t>
  </si>
  <si>
    <t>Montpellier (Baphomet)</t>
  </si>
  <si>
    <t>Marseille (Dimario91)</t>
  </si>
  <si>
    <t>Real Betis (Smile)</t>
  </si>
  <si>
    <t>Valencia (Poss)</t>
  </si>
  <si>
    <t>Atletico Madrid (ReadingClub)</t>
  </si>
  <si>
    <t>Barcelona (MOSDEF)</t>
  </si>
  <si>
    <t>6 - 0 (4 - 0)</t>
  </si>
  <si>
    <t>0 - 5 (0 - 3)</t>
  </si>
  <si>
    <t>3 - 2 (0 - 0)</t>
  </si>
  <si>
    <t xml:space="preserve">Cyber Copa America 11:00 - 14:00                </t>
  </si>
  <si>
    <t>Chile (Poss)</t>
  </si>
  <si>
    <t>Colombia (Smile)</t>
  </si>
  <si>
    <t>Brazil (MOSDEF)</t>
  </si>
  <si>
    <t>2 - 5 (1 - 4)</t>
  </si>
  <si>
    <t>Argentina (Phantom)</t>
  </si>
  <si>
    <t>4 - 3 (3 - 0)</t>
  </si>
  <si>
    <t>Uruguay (ReadingClub)</t>
  </si>
  <si>
    <t>Uruguay (folen)</t>
  </si>
  <si>
    <t>Italy (Ryuk)</t>
  </si>
  <si>
    <t>England (Den1Bravo)</t>
  </si>
  <si>
    <t>Roma (Smile)</t>
  </si>
  <si>
    <t>Spain (Baphomet)</t>
  </si>
  <si>
    <t>Inter (Poss)</t>
  </si>
  <si>
    <t>4 - 0 (0 - 0)</t>
  </si>
  <si>
    <t>Napoli (Phantom)</t>
  </si>
  <si>
    <t>Netherlands (Dimario91)</t>
  </si>
  <si>
    <t>6 - 2 (5 - 1)</t>
  </si>
  <si>
    <t>Juventus (MOSDEF)</t>
  </si>
  <si>
    <t>6 - 3 (5 - 1)</t>
  </si>
  <si>
    <t>4 - 1 (3 - 1)</t>
  </si>
  <si>
    <t>3 - 3 (2 - 3)</t>
  </si>
  <si>
    <t>0 - 5 (0 - 2)</t>
  </si>
  <si>
    <t>3 - 3 (2 - 0)</t>
  </si>
  <si>
    <t>5 - 1 (1 - 0)</t>
  </si>
  <si>
    <t>Alaves (Sambo)</t>
  </si>
  <si>
    <t>Eibar (Smile)</t>
  </si>
  <si>
    <t>Espanyol (MOSDEF)</t>
  </si>
  <si>
    <t xml:space="preserve"> 0 - 3 (0 - 1)</t>
  </si>
  <si>
    <t>Real Sociedad (REM)</t>
  </si>
  <si>
    <t>Levante (ReadingClub)</t>
  </si>
  <si>
    <t>4 - 5 (3 - 3)</t>
  </si>
  <si>
    <t>2 - 5 (0 - 3)</t>
  </si>
  <si>
    <t>8 - 0 (5 - 0)</t>
  </si>
  <si>
    <t>7 - 0 (7 - 0)</t>
  </si>
  <si>
    <t>Bayer 04 (ReadingClub)</t>
  </si>
  <si>
    <t>Borussia Monchengladbach (REM)</t>
  </si>
  <si>
    <t>Borussia Dortmund (Kennen)</t>
  </si>
  <si>
    <t>RB Leipzig (MOSDEF)</t>
  </si>
  <si>
    <t>0 - 4 (0 - 1)</t>
  </si>
  <si>
    <t>2 - 6 (1 - 3)</t>
  </si>
  <si>
    <t>Galatasaray (Sambo)</t>
  </si>
  <si>
    <t>Olympiacos (Smile)</t>
  </si>
  <si>
    <t>Shakhtar Donetsk (MOSDEF)</t>
  </si>
  <si>
    <t>Club Brugge (REM)</t>
  </si>
  <si>
    <t>Lokomotiv Moscow (ReadingClub)</t>
  </si>
  <si>
    <t>3 - 7 (1 - 4)</t>
  </si>
  <si>
    <t>7 - 1 (4 - 1)</t>
  </si>
  <si>
    <t>5 - 7 (2 - 4)</t>
  </si>
  <si>
    <t>Tottenham (Smile)</t>
  </si>
  <si>
    <t>FC Bayern (ReadingClub)</t>
  </si>
  <si>
    <t>Juventus (REM)</t>
  </si>
  <si>
    <t>Barcelona (Kennen)</t>
  </si>
  <si>
    <t>4 - 6 (2 - 5)</t>
  </si>
  <si>
    <t>PSG (MOSDEF)</t>
  </si>
  <si>
    <t>1 - 6 (0 - 3)</t>
  </si>
  <si>
    <t>3 - 1 (3 - 1)</t>
  </si>
  <si>
    <t>2 - 3 (2 - 0)</t>
  </si>
  <si>
    <t>2 - 5 (0 - 5)</t>
  </si>
  <si>
    <t xml:space="preserve">Germany Cyber Stars League 20:00 - 23:00		</t>
  </si>
  <si>
    <t>2 - 4 (2 - 1)</t>
  </si>
  <si>
    <t>Werder Bremen (Ryuk)</t>
  </si>
  <si>
    <t>5 - 6 (3 - 2)</t>
  </si>
  <si>
    <t>Hoffenheim (Walker)</t>
  </si>
  <si>
    <t>Hertha BSC (Baphomet)</t>
  </si>
  <si>
    <t>Schalke 04 (Sambo)</t>
  </si>
  <si>
    <t>Wolfsburg (Ishking11)</t>
  </si>
  <si>
    <t>1 - 6 (0 - 2)</t>
  </si>
  <si>
    <t>6 - 3 (2 - 2)</t>
  </si>
  <si>
    <t>2 - 3  (1 - 2)</t>
  </si>
  <si>
    <t>7 - 1 (5 - 1)</t>
  </si>
  <si>
    <t>6 - 2 (1 - 0)</t>
  </si>
  <si>
    <t>Cyber Europa League 20:00 - 23:00</t>
  </si>
  <si>
    <t>Inter (Baphomet)</t>
  </si>
  <si>
    <t>Lazio (Sambo)</t>
  </si>
  <si>
    <t>Sevilla (Ryuk)</t>
  </si>
  <si>
    <t>2 - 4 (0 - 4)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</si>
  <si>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</si>
  <si>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</si>
  <si>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</si>
  <si>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</si>
  <si>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</si>
  <si>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</si>
  <si>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3 - 2 (0 - 2)</t>
  </si>
  <si>
    <t>2 - 1 (0 - 0)</t>
  </si>
  <si>
    <t>Brazil (forest**)</t>
  </si>
  <si>
    <t>2 - 7 (1 - 1)</t>
  </si>
  <si>
    <t>Germany (Baphomet)</t>
  </si>
  <si>
    <t>3 - 5 (2 - 1)</t>
  </si>
  <si>
    <t>France (Sambo)</t>
  </si>
  <si>
    <t>Belgium (Ryuk)</t>
  </si>
  <si>
    <t>7 - 0 (3 - 0)</t>
  </si>
  <si>
    <t>6 - 1 (4 - 1)</t>
  </si>
  <si>
    <t>Germany Cyber Stars League 8:00 - 11:00</t>
  </si>
  <si>
    <t>Hoffenheim (CarlWhizzer)</t>
  </si>
  <si>
    <t>Koln (Mistyeye)</t>
  </si>
  <si>
    <t>Werder Bremen (HBK)</t>
  </si>
  <si>
    <t>Bayer 04 (dzekon)</t>
  </si>
  <si>
    <t>Eintracht (NicolasRage)</t>
  </si>
  <si>
    <t>Portugal (CarlWhizzer)</t>
  </si>
  <si>
    <t>2 - 2 (1 - 0)</t>
  </si>
  <si>
    <t>Netherlands (Mistyeye)</t>
  </si>
  <si>
    <t>Uruguay (HBK)</t>
  </si>
  <si>
    <t>Italy (dzekon)</t>
  </si>
  <si>
    <t>England (NicolasRage)</t>
  </si>
  <si>
    <t>3 - 6 (1 - 2)</t>
  </si>
  <si>
    <t>1 - 4 (3 - 1)</t>
  </si>
  <si>
    <t>2 - 6 (1 - 2)</t>
  </si>
  <si>
    <t>France Cyber Stars League 14:00 - 17:00</t>
  </si>
  <si>
    <t>Lille (CarlWhizzer)</t>
  </si>
  <si>
    <t>Monaco (ReadingClub)</t>
  </si>
  <si>
    <t>PSG (Kennen)</t>
  </si>
  <si>
    <t>Lyon (dzekon)</t>
  </si>
  <si>
    <t>4 - 2 (4 - 1)</t>
  </si>
  <si>
    <t>6 - 3 (2 - 0)</t>
  </si>
  <si>
    <t>6 - 1 (3 - 0)</t>
  </si>
  <si>
    <t>7 - 2 (4 - 2)</t>
  </si>
  <si>
    <t>4 - 3 (3 - 1)</t>
  </si>
  <si>
    <t>..</t>
  </si>
  <si>
    <t>Inter (CarlWhizzer)</t>
  </si>
  <si>
    <t>Newcastle United (Mistyeye)</t>
  </si>
  <si>
    <t>Napoli (Mistyeye)</t>
  </si>
  <si>
    <t>Aston Villa (HBK)</t>
  </si>
  <si>
    <t>Lazio (Smile)</t>
  </si>
  <si>
    <t>Bournemouth (CarlWhizzer)</t>
  </si>
  <si>
    <t>Milan (dzekon)</t>
  </si>
  <si>
    <t>Crystal Palace (dzekon)</t>
  </si>
  <si>
    <t>Tottenham (CarlWhizzer)</t>
  </si>
  <si>
    <t>Juventus (NicolasRage)</t>
  </si>
  <si>
    <t>Napoli (ReadingClub)</t>
  </si>
  <si>
    <t>Valencia (dzekon)</t>
  </si>
  <si>
    <t>3 - 4 (2 - 3)</t>
  </si>
  <si>
    <t>2 - 2 (2 - 2)</t>
  </si>
  <si>
    <t>4 - 0 (4 - 0)</t>
  </si>
  <si>
    <t>3 - 2 (0 - 1)</t>
  </si>
  <si>
    <t>4 - 4 (3 - 2)</t>
  </si>
  <si>
    <t>5 - 2 (2 - 2)</t>
  </si>
  <si>
    <t>4 - 3 (1 - 2)</t>
  </si>
  <si>
    <t>2 - 1(1 - 1)</t>
  </si>
  <si>
    <t>3 - 0 (0 - 0)</t>
  </si>
  <si>
    <t>2 - 6 (2 - 3)</t>
  </si>
  <si>
    <t>Spain Cyber Stars League 11:00 - 14:00</t>
  </si>
  <si>
    <t>Cyber Champions League 11:00 - 14:00</t>
  </si>
  <si>
    <t>Real Madrid (Mistyeye)</t>
  </si>
  <si>
    <t>Sevilla (HBK)</t>
  </si>
  <si>
    <t>Ajax (CarlWhizzer)</t>
  </si>
  <si>
    <t>Bayer 04 (Mistyeye)</t>
  </si>
  <si>
    <t>Barcelona (dzekon)</t>
  </si>
  <si>
    <t>Atalanta (Smile)</t>
  </si>
  <si>
    <t>Valencia (NicolasRage)</t>
  </si>
  <si>
    <t>Benfica (NicolasRage)</t>
  </si>
  <si>
    <t>Italy Cyber Stars League  20:00 - 23:00</t>
  </si>
  <si>
    <t>Napoli (Ishking11)</t>
  </si>
  <si>
    <t>Juventus (Ryuk)</t>
  </si>
  <si>
    <t>Atalanta (Baphomet)</t>
  </si>
  <si>
    <t>3 - 3 (3 - 0)</t>
  </si>
  <si>
    <t>4 - 2 (3 - 2)</t>
  </si>
  <si>
    <t>4 - 2 (4 - 0)</t>
  </si>
  <si>
    <t>5 - 3 (2 - 2)</t>
  </si>
  <si>
    <t>Italy Cyber Stars League 14:00 - 17:00</t>
  </si>
  <si>
    <t>4 - 3 (3 - 2)</t>
  </si>
  <si>
    <t>Juventus (Walker)</t>
  </si>
  <si>
    <t>Inter (Jenko)</t>
  </si>
  <si>
    <t>Borussia Dortmund (ReadingClub)</t>
  </si>
  <si>
    <t>Napoli (Kennen)</t>
  </si>
  <si>
    <t>Bayer 04 (Kennen)</t>
  </si>
  <si>
    <t>FC Bayern (Smile)</t>
  </si>
  <si>
    <t>RB Leipzig (NicolasRage)</t>
  </si>
  <si>
    <t>Lazio (NicolasRage)</t>
  </si>
  <si>
    <t>5 - 3 (3 - 3)</t>
  </si>
  <si>
    <t>0 - 6 (0 - 5)</t>
  </si>
  <si>
    <t>1 - 7 (1 - 4)</t>
  </si>
  <si>
    <t>4 - 3 (2 - 0)</t>
  </si>
  <si>
    <t>4 - 1 (0 - 1)</t>
  </si>
  <si>
    <t>Spain Cyber Stars League 23:00 - 02:00</t>
  </si>
  <si>
    <t>Real Madrid (forest**)</t>
  </si>
  <si>
    <t>Sevilla (Ishking11)</t>
  </si>
  <si>
    <t>Atletico Madrid (Sambo)</t>
  </si>
  <si>
    <t>4 - 3 (4 - 1)</t>
  </si>
  <si>
    <t>CSKA Moscow (dzekon)</t>
  </si>
  <si>
    <t>Shakhtar Donetsk (ReadingClub)</t>
  </si>
  <si>
    <t>Gent (Kennen)</t>
  </si>
  <si>
    <t>Dynamo Kyiv (Smile)</t>
  </si>
  <si>
    <t>Roma (Jenko)</t>
  </si>
  <si>
    <t>Inter (Kennen)</t>
  </si>
  <si>
    <t>2 - 6 (2 - 2)</t>
  </si>
  <si>
    <t>5 - 7 (3 - 3)</t>
  </si>
  <si>
    <t>Lazio (dzekon)</t>
  </si>
  <si>
    <t>Sporting (NicolasRage)</t>
  </si>
  <si>
    <t>Manchester United (NicolasRage)</t>
  </si>
  <si>
    <t>3 - 4 (3 - 1)</t>
  </si>
  <si>
    <t>0 - 9 (0 - 5)</t>
  </si>
  <si>
    <t>2 - 4 (0 - 0)</t>
  </si>
  <si>
    <t>3 - 6 (2 - 4)</t>
  </si>
  <si>
    <t>3 - 4 (0 - 2)</t>
  </si>
  <si>
    <t>2 - 6 (1 - 4)</t>
  </si>
  <si>
    <t>Villarreal (forest**)</t>
  </si>
  <si>
    <t>Real Betis (Ishking11)</t>
  </si>
  <si>
    <t>(0 - 1)</t>
  </si>
  <si>
    <t>Athletic Club (Veep)</t>
  </si>
  <si>
    <t>Cyber Champions League 20:00 - 23:00</t>
  </si>
  <si>
    <t>Getafe (Sambo)</t>
  </si>
  <si>
    <t>Sevilla (ReadingClub)</t>
  </si>
  <si>
    <t>PSG (LiveStrong)</t>
  </si>
  <si>
    <t>Barcelona (Aphex)</t>
  </si>
  <si>
    <t>Manchester City (Veep)</t>
  </si>
  <si>
    <t>Juventus (Jenko)</t>
  </si>
  <si>
    <t>3 - 4 (0 - 3)</t>
  </si>
  <si>
    <t>0 - 7 (0 - 5)</t>
  </si>
  <si>
    <t>4 - 3 (4 - 2)</t>
  </si>
  <si>
    <t>England Cyber Stars League 23:00 - 02:00</t>
  </si>
  <si>
    <t>4 - 6 (2 - 3)</t>
  </si>
  <si>
    <t>Manchester City (forest**)</t>
  </si>
  <si>
    <t>France Cyber Stars League 23:00 - 02:00</t>
  </si>
  <si>
    <t>Tottenham (Veep)</t>
  </si>
  <si>
    <t>Manchester United (Sambo)</t>
  </si>
  <si>
    <t>Liverpool (ReadingClub)</t>
  </si>
  <si>
    <t>Lille (ReadingClub)</t>
  </si>
  <si>
    <t>Nice (LiveStrong)</t>
  </si>
  <si>
    <t>Stade Rennais (Aphex)</t>
  </si>
  <si>
    <t>10 - 0 (7 - 0)</t>
  </si>
  <si>
    <t>Bourdeux (Veep)</t>
  </si>
  <si>
    <t>Saint-Etienne (Jenko)</t>
  </si>
  <si>
    <t>(0 - 0)</t>
  </si>
  <si>
    <t>Roma (Poss)</t>
  </si>
  <si>
    <t>Milan (Jenko)</t>
  </si>
  <si>
    <t>Torino (dzekon)</t>
  </si>
  <si>
    <t>Atalanta (NicolasRage)</t>
  </si>
  <si>
    <t>RB Leipzig (mrPanda)</t>
  </si>
  <si>
    <t>Bayer 04 (HBK)</t>
  </si>
  <si>
    <t>Lyon (Poss)</t>
  </si>
  <si>
    <t>Monaco (Smile)</t>
  </si>
  <si>
    <t>PSG (Conab)</t>
  </si>
  <si>
    <t>3 - 1 (0 - 0)</t>
  </si>
  <si>
    <t>Lille (Aphex)</t>
  </si>
  <si>
    <t>Marseille (Jenko)</t>
  </si>
  <si>
    <t>2 - 7 (2 - 3)</t>
  </si>
  <si>
    <t>3 - 4 (1 - 2)</t>
  </si>
  <si>
    <t>England Cyber Stars League 11:00 - 14:00</t>
  </si>
  <si>
    <t>Liverpool (Jenko)</t>
  </si>
  <si>
    <t>Manchester United (dzekon)</t>
  </si>
  <si>
    <t>Chelsea (NicolasRage)</t>
  </si>
  <si>
    <t>3 - 6 (3 - 4)</t>
  </si>
  <si>
    <t>Villarreal (Poss)</t>
  </si>
  <si>
    <t>Valladolid (dzekon)</t>
  </si>
  <si>
    <t>5 - 0 (0 - 0)</t>
  </si>
  <si>
    <t>Athletic Club (mrPanda)</t>
  </si>
  <si>
    <t>Real Sociedad (HBK)</t>
  </si>
  <si>
    <t>Getafe (NicolasRage)</t>
  </si>
  <si>
    <t xml:space="preserve"> 2 - 3 (1 - 0)</t>
  </si>
  <si>
    <t>Juventus (Conab)</t>
  </si>
  <si>
    <t>Milan (Aphex)</t>
  </si>
  <si>
    <t>Lazio (Jenko)</t>
  </si>
  <si>
    <t>7 - 2 (1 - 1)</t>
  </si>
  <si>
    <t>7 - 2 (2 - 1)</t>
  </si>
  <si>
    <t>1 - 8 (0 - 4)</t>
  </si>
  <si>
    <t>1 - 4 (1 - 0)</t>
  </si>
  <si>
    <t>Real Madrid (LiveStrong)</t>
  </si>
  <si>
    <t>Atletico Madrid (Smile)</t>
  </si>
  <si>
    <t>Barcelona (CarlWhizzer)</t>
  </si>
  <si>
    <t>4 - 1 (4 - 1)</t>
  </si>
  <si>
    <t>Manchester City (Jenko)</t>
  </si>
  <si>
    <t>Cyber Champions League 14:00 - 17:00</t>
  </si>
  <si>
    <t>3 - 6 (3 - 1)</t>
  </si>
  <si>
    <t>Tottenham (REM)</t>
  </si>
  <si>
    <t>PSG (Veep)</t>
  </si>
  <si>
    <t>Juventus (Smile)</t>
  </si>
  <si>
    <t>Real Madrid (Poss)</t>
  </si>
  <si>
    <t>FC Bayern (CarlWhizzer)</t>
  </si>
  <si>
    <t>2 - 5 (1 - 1)</t>
  </si>
  <si>
    <t>7 - 1 (3 - 0)</t>
  </si>
  <si>
    <t>CSKA Moscow (NicolasRage)</t>
  </si>
  <si>
    <t>Dynamo Kyiv (dzekon)</t>
  </si>
  <si>
    <t>Chelsea (LiveStrong)</t>
  </si>
  <si>
    <t>Gent (Jenko)</t>
  </si>
  <si>
    <t>Denmark (Veep)</t>
  </si>
  <si>
    <t>Celtic (REM)</t>
  </si>
  <si>
    <t>Switzerland (Smile)</t>
  </si>
  <si>
    <t>Borussia Dortmund (CarlWhizzer)</t>
  </si>
  <si>
    <t>Mexico (Poss)</t>
  </si>
  <si>
    <t>Poland (CarlWhizzer)</t>
  </si>
  <si>
    <t>Ajax (NicolasRage)</t>
  </si>
  <si>
    <t>Austria (Jenko)</t>
  </si>
  <si>
    <t>4 - 5 (1 - 2)</t>
  </si>
  <si>
    <t>4 - 5 (1 - 3)</t>
  </si>
  <si>
    <t>7 - 2 (5 - 0)</t>
  </si>
  <si>
    <t>3 - 4 (2 - 2)</t>
  </si>
  <si>
    <t>2 - 6 (0 - 3)</t>
  </si>
  <si>
    <t>4 - 5 (3 - 2)</t>
  </si>
  <si>
    <t>Ajax (Sambo)</t>
  </si>
  <si>
    <t>Chelsea (forest**)</t>
  </si>
  <si>
    <t>Tottenham (HBK)</t>
  </si>
  <si>
    <t>9 - 0 (5 - 0)</t>
  </si>
  <si>
    <t>Liverpool (Ishking11)</t>
  </si>
  <si>
    <t>Atalanta (RedDevil)</t>
  </si>
  <si>
    <t>Lyon (Aphex)</t>
  </si>
  <si>
    <t>Lille (RedDevil)</t>
  </si>
  <si>
    <t>Marseille (Phantom)</t>
  </si>
  <si>
    <t>4 - 4 (2 - 3)</t>
  </si>
  <si>
    <t>2 - 7 (1 - 6)</t>
  </si>
  <si>
    <t>Germany Cyber Stars League 23:00 - 02:00</t>
  </si>
  <si>
    <t>Eintracht (Veep)</t>
  </si>
  <si>
    <t>Werder Bremen (forest**)</t>
  </si>
  <si>
    <t>Brazil (ReadingClub)</t>
  </si>
  <si>
    <t>6 - 1 (5 - 0)</t>
  </si>
  <si>
    <t>Wolfsburg (Sambo)</t>
  </si>
  <si>
    <t>Hoffenheim (Ishking11)</t>
  </si>
  <si>
    <t>Germany (Sambo)</t>
  </si>
  <si>
    <t>France (Jenko)</t>
  </si>
  <si>
    <t>Argentina (Ishking11)</t>
  </si>
  <si>
    <t>Belgium (RedDevil)</t>
  </si>
  <si>
    <t>1 - 6 (1 - 3)</t>
  </si>
  <si>
    <t>0 - 7 (0 - 3)</t>
  </si>
  <si>
    <t xml:space="preserve"> 0 - 5 (0 - 3)</t>
  </si>
  <si>
    <t>Italy (Sambo)</t>
  </si>
  <si>
    <t>Spain (forest**)</t>
  </si>
  <si>
    <t>0 - 6 (0 - 1)</t>
  </si>
  <si>
    <t>Netherlands (Aphex)</t>
  </si>
  <si>
    <t>England (RedDevil)</t>
  </si>
  <si>
    <t>Uruguay (Phantom)</t>
  </si>
  <si>
    <t>4 - 4 (1 - 3)</t>
  </si>
  <si>
    <t>3 - 3 (1 - 1)</t>
  </si>
  <si>
    <t>9 - 2 (5 - 0)</t>
  </si>
  <si>
    <t>3 - 5 (2 - 2)</t>
  </si>
  <si>
    <t>Real Betis (mrPanda)</t>
  </si>
  <si>
    <t>Barcelona (Miller)</t>
  </si>
  <si>
    <t>Atletico Madrid (dzekon)</t>
  </si>
  <si>
    <t>Sevilla (NicolasRage)</t>
  </si>
  <si>
    <t>Real Madrid (Conab)</t>
  </si>
  <si>
    <t>Barcelona (Conab)</t>
  </si>
  <si>
    <t>Valencia (Jenko)</t>
  </si>
  <si>
    <t>Sevilla (Veep)</t>
  </si>
  <si>
    <t>0 - 4 (0 - 0)</t>
  </si>
  <si>
    <t>0 - 9 (0 - 3)</t>
  </si>
  <si>
    <t>9 - 2 (1 - 1)</t>
  </si>
  <si>
    <t>France Cyber Stars League 11:00 - 14:00</t>
  </si>
  <si>
    <t>Bourdeux (mrPanda)</t>
  </si>
  <si>
    <t>Stade Rennais (dzekon)</t>
  </si>
  <si>
    <t>Cyber Copa America 11:00 - 14:00</t>
  </si>
  <si>
    <t>Nice (NicolasRage)</t>
  </si>
  <si>
    <t>Lyon (Conab)</t>
  </si>
  <si>
    <t>Saint-Etienne (Poss)</t>
  </si>
  <si>
    <t>Chile (Smile)</t>
  </si>
  <si>
    <t>Brazil (Miller)</t>
  </si>
  <si>
    <t>Argentina (Conab)</t>
  </si>
  <si>
    <t>Uruguay (Jenko)</t>
  </si>
  <si>
    <t>Colombia (Veep)</t>
  </si>
  <si>
    <t>1 - 7 (0 - 5)</t>
  </si>
  <si>
    <t>7 - 0 (2 - 0)</t>
  </si>
  <si>
    <t>8 - 1 (5 - 0)</t>
  </si>
  <si>
    <t>Borussia Dortmund (dzekon)</t>
  </si>
  <si>
    <t>PSG (Zo0m)</t>
  </si>
  <si>
    <t>Lille (HBK)</t>
  </si>
  <si>
    <t>Napoli (NicolasRage)</t>
  </si>
  <si>
    <t>Chelsea (CarlWhizzer)</t>
  </si>
  <si>
    <t>Manchester City (Smile)</t>
  </si>
  <si>
    <t>Real Madrid (ReadingClub)</t>
  </si>
  <si>
    <t>Lyon (Smile)</t>
  </si>
  <si>
    <t>Liverpool (Veep)</t>
  </si>
  <si>
    <t>Monaco (Jenko)</t>
  </si>
  <si>
    <t>Manchester United (Jenko)</t>
  </si>
  <si>
    <t>Arsenal (CarlWhizzer)</t>
  </si>
  <si>
    <t>Tottenham (Poss)</t>
  </si>
  <si>
    <t>0 - 8 (0 - 4)</t>
  </si>
  <si>
    <t>Leicester (HBK)</t>
  </si>
  <si>
    <t>Watford (NicolasRage)</t>
  </si>
  <si>
    <t>West Ham United (CarlWhizzer)</t>
  </si>
  <si>
    <t>Wolverhampton (ReadingClub)</t>
  </si>
  <si>
    <t>3 - 5 (2 - 3)</t>
  </si>
  <si>
    <t>FC Bayern (Zo0m)</t>
  </si>
  <si>
    <t>Borussia Monchengladbach (HBK)</t>
  </si>
  <si>
    <t>Ajax (Smile)</t>
  </si>
  <si>
    <t>Borussia Dortmund (Veep)</t>
  </si>
  <si>
    <t>Borussia Dortmund (Smile)</t>
  </si>
  <si>
    <t>Atalanta (CarlWhizzer)</t>
  </si>
  <si>
    <t>7 - 3 (4 - 1)</t>
  </si>
  <si>
    <t>Benfica (Poss)</t>
  </si>
  <si>
    <t>Celtic (Ishking11)</t>
  </si>
  <si>
    <t>Shakhtar Donetsk (LiveStrong)</t>
  </si>
  <si>
    <t>Gent (Sambo)</t>
  </si>
  <si>
    <t>3 - 3 (3 - 3)</t>
  </si>
  <si>
    <t>Italy Cyber Stars League 20:00 - 23:00</t>
  </si>
  <si>
    <t>Juventus (forest**)</t>
  </si>
  <si>
    <t>5 - 1 (4 - 0)</t>
  </si>
  <si>
    <t>Napoli (Sambo)</t>
  </si>
  <si>
    <t>Lazio (Ishking11)</t>
  </si>
  <si>
    <t>Athletic Club (Poss)</t>
  </si>
  <si>
    <t>Real Betis (NicolasRage)</t>
  </si>
  <si>
    <t>5 - 2 (2 - 0)</t>
  </si>
  <si>
    <t>4 - 4 (4 - 3)</t>
  </si>
  <si>
    <t>Liverpool (forest**)</t>
  </si>
  <si>
    <t>Manchester City (Sambo)</t>
  </si>
  <si>
    <t xml:space="preserve"> 0 - 2 (0 - 2)</t>
  </si>
  <si>
    <t>Tottenham (Ishking11)</t>
  </si>
  <si>
    <t>4 - 4 (1 - 2)</t>
  </si>
  <si>
    <t>Arsenal (HBK)</t>
  </si>
  <si>
    <t>Manchester United (LiveStrong)</t>
  </si>
  <si>
    <t>Portugal (forest**)</t>
  </si>
  <si>
    <t>Italy (ReadingClub)</t>
  </si>
  <si>
    <t>England (Sambo)</t>
  </si>
  <si>
    <t>Spain (Phantom)</t>
  </si>
  <si>
    <t>Netherlands (Ishking11)</t>
  </si>
  <si>
    <t>Shakhtar Donetsk (HBK)</t>
  </si>
  <si>
    <t xml:space="preserve"> 3 - 3 (1 - 2)</t>
  </si>
  <si>
    <t>Club Brugge (ReadingClub)</t>
  </si>
  <si>
    <t>Lokomotiv Moscow (Poss)</t>
  </si>
  <si>
    <t>Galatasaray (Smile)</t>
  </si>
  <si>
    <t>Olympiacos (NicolasRage)</t>
  </si>
  <si>
    <t>1 - 5 (0 - 1)</t>
  </si>
  <si>
    <t>Cyber World Cup 20:00 - 23:00</t>
  </si>
  <si>
    <t>Spain (Ishking11)</t>
  </si>
  <si>
    <t>Belgium (Veep)</t>
  </si>
  <si>
    <t>Netherlands (LiveStrong)</t>
  </si>
  <si>
    <t>5 - 2 (3 - 0)</t>
  </si>
  <si>
    <t>7 - 1 (4 - 0)</t>
  </si>
  <si>
    <t>Arsenal (Veep)</t>
  </si>
  <si>
    <t>5 - 3 (3 - 0)</t>
  </si>
  <si>
    <t>Manchester City (REM)</t>
  </si>
  <si>
    <t>Manchester United (mrPanda)</t>
  </si>
  <si>
    <t>Arsenal (NicolasRage)</t>
  </si>
  <si>
    <t>6 - 1 (2 - 0)</t>
  </si>
  <si>
    <t>4 - 4 (2 - 2)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</si>
  <si>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</si>
  <si>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</si>
  <si>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</si>
  <si>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</si>
  <si>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</si>
  <si>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</si>
  <si>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Villarreal (REM)</t>
  </si>
  <si>
    <t>Athletic Club (forest**)</t>
  </si>
  <si>
    <t>7 - 0 (4 - 0)</t>
  </si>
  <si>
    <t>Levante (HBK)</t>
  </si>
  <si>
    <t>Real Sociedad (dzekon)</t>
  </si>
  <si>
    <t>6 - 0 (2 - 0)</t>
  </si>
  <si>
    <t>4 - 5 (2 - 0)</t>
  </si>
  <si>
    <t>Real Madrid (Jenko)</t>
  </si>
  <si>
    <t>Barcelona (Poss)</t>
  </si>
  <si>
    <t>Sevilla (LiveStrong)</t>
  </si>
  <si>
    <t>4 - 4 (3 - 1)</t>
  </si>
  <si>
    <t>Cameroon (REM)</t>
  </si>
  <si>
    <t>Greece (forest**)</t>
  </si>
  <si>
    <t>Czech Republic (HBK)</t>
  </si>
  <si>
    <t>United States (dzekon)</t>
  </si>
  <si>
    <t>Ireland (NicolasRage)</t>
  </si>
  <si>
    <t>5 - 3 (3 - 2)</t>
  </si>
  <si>
    <t>4 - 5 (2 - 3)</t>
  </si>
  <si>
    <t>FC Bayern (REM)</t>
  </si>
  <si>
    <t>Atalanta (HBK)</t>
  </si>
  <si>
    <t>RB Leipzig (CarlWhizzer)</t>
  </si>
  <si>
    <t>5 - 0 (4 - 0)</t>
  </si>
  <si>
    <t>Ajax (Poss)</t>
  </si>
  <si>
    <t>Bayer 04 (forest**)</t>
  </si>
  <si>
    <t>6 - 2 (3 - 2)</t>
  </si>
  <si>
    <t>Tottenham (LiveStrong)</t>
  </si>
  <si>
    <t>Bor. Monchengladbach (NicolasRage)</t>
  </si>
  <si>
    <t xml:space="preserve">1 - 0 (1 - 0) </t>
  </si>
  <si>
    <t>3 - 3 (1 - 3)</t>
  </si>
  <si>
    <t>Inter (LiveStrong)</t>
  </si>
  <si>
    <t>Napoli (Veep)</t>
  </si>
  <si>
    <t>Lazio (CarlWhizzer)</t>
  </si>
  <si>
    <t>Juventus (dzekon)</t>
  </si>
  <si>
    <t>3 - 6 (1 - 5)</t>
  </si>
  <si>
    <t>1 - 7 (1 - 2)</t>
  </si>
  <si>
    <t>6 - 3 (3 - 2)</t>
  </si>
  <si>
    <t>Porto (HBK)</t>
  </si>
  <si>
    <t>Leicester (REM)</t>
  </si>
  <si>
    <t>Lazio (Aphex)</t>
  </si>
  <si>
    <t>1 - 6 (1 - 1)</t>
  </si>
  <si>
    <t>Watford (CarlWhizzer)</t>
  </si>
  <si>
    <t>Bayer 04 (Veep)</t>
  </si>
  <si>
    <t>West Ham United (forest**)</t>
  </si>
  <si>
    <t>Inter (Phantom)</t>
  </si>
  <si>
    <t>3 - 3 (3 - 2)</t>
  </si>
  <si>
    <t>5 - 1 (1 - 1)</t>
  </si>
  <si>
    <t xml:space="preserve"> 2 - 1(0 - 1)</t>
  </si>
  <si>
    <t>CSKA Moscow (LiveStrong)</t>
  </si>
  <si>
    <t>Celtic (Veep)</t>
  </si>
  <si>
    <t>Dynamo Kyiv (CarlWhizzer)</t>
  </si>
  <si>
    <t>Shakhtar Donetsk (dzekon)</t>
  </si>
  <si>
    <t>Gent (NicolasRage)</t>
  </si>
  <si>
    <t>2 - 7 (1 - 3)</t>
  </si>
  <si>
    <t>6 - 2 (2 - 1)</t>
  </si>
  <si>
    <t>Italy Cyber Stars League 23:00 - 02:00</t>
  </si>
  <si>
    <t>Sassuolo (Poss)</t>
  </si>
  <si>
    <t>3 - 5 (1 - 2)</t>
  </si>
  <si>
    <t>Sampdoria (HBK)</t>
  </si>
  <si>
    <t>Lille (REM)</t>
  </si>
  <si>
    <t>Fiorentina (Aphex)</t>
  </si>
  <si>
    <t>Parma (Veep)</t>
  </si>
  <si>
    <t>Nice (dzekon)</t>
  </si>
  <si>
    <t xml:space="preserve"> 2 - 2 (0 - 1)</t>
  </si>
  <si>
    <t>Udinese (Phantom)</t>
  </si>
  <si>
    <t>Stade Rennais (Jenko)</t>
  </si>
  <si>
    <t>Bourdeux (Ishking11)</t>
  </si>
  <si>
    <t>Saint-Etienne (NicolasRage)</t>
  </si>
  <si>
    <t>0 - 5 (0 - 0)</t>
  </si>
  <si>
    <t>3 - 7 (1 - 5)</t>
  </si>
  <si>
    <t>4 - 5 (2 - 1)</t>
  </si>
  <si>
    <t>PSG (Aphex)</t>
  </si>
  <si>
    <t>Liverpool (RedDevil)</t>
  </si>
  <si>
    <t>2 - 2(1 - 2)</t>
  </si>
  <si>
    <t>Denmark (REM)</t>
  </si>
  <si>
    <t>2 - 6 (0 - 4)</t>
  </si>
  <si>
    <t>Mexico (Jenko)</t>
  </si>
  <si>
    <t>Poland (Ishking11)</t>
  </si>
  <si>
    <t>3 - 2 (3 - 0)</t>
  </si>
  <si>
    <t>West Ham United (Sambo)</t>
  </si>
  <si>
    <t>Watford (Miller)</t>
  </si>
  <si>
    <t>Wolverhampton (Aphex)</t>
  </si>
  <si>
    <t>Leicester (RedDevil)</t>
  </si>
  <si>
    <t>Everton (Phantom)</t>
  </si>
  <si>
    <t>Barcelona (RedDevil)</t>
  </si>
  <si>
    <t>Real Madrid (Ishking11)</t>
  </si>
  <si>
    <t>Atletico Madrid (Jenko)</t>
  </si>
  <si>
    <t>2 - 7 (1 - 4)</t>
  </si>
  <si>
    <t>Roma (Sambo)</t>
  </si>
  <si>
    <t>Torino (Ishking11)</t>
  </si>
  <si>
    <t>Juventus (Zo0m)</t>
  </si>
  <si>
    <t>5 - 5 (0 - 2)</t>
  </si>
  <si>
    <t>Inter (dzekon)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</si>
  <si>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</si>
  <si>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</si>
  <si>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</si>
  <si>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</si>
  <si>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</si>
  <si>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</si>
  <si>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</si>
  <si>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</si>
  <si>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</si>
  <si>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Real Madrid (Miller)</t>
  </si>
  <si>
    <t>Sevilla (CarlWhizzer)</t>
  </si>
  <si>
    <t>Valencia (REM)</t>
  </si>
  <si>
    <t>Barcelona (Veep)</t>
  </si>
  <si>
    <t>Cyber Europa League 14:00 - 17:00</t>
  </si>
  <si>
    <t>Porto (mrPanda)</t>
  </si>
  <si>
    <t>Wolverhampton (CarlWhizzer)</t>
  </si>
  <si>
    <t>1 - 7 (1 - 5)</t>
  </si>
  <si>
    <t>Marseille (Miller)</t>
  </si>
  <si>
    <t>Stade Rennais (CarlWhizzer)</t>
  </si>
  <si>
    <t>Bourdeux (REM)</t>
  </si>
  <si>
    <t>Montpellier (Veep)</t>
  </si>
  <si>
    <t>Arsenal (mrPanda)</t>
  </si>
  <si>
    <t>Tottenham (NicolasRage)</t>
  </si>
  <si>
    <t>Manchester United (CarlWhizzer)</t>
  </si>
  <si>
    <t>1 - 6 (0 - 5)</t>
  </si>
  <si>
    <t>Ajax (Veep)</t>
  </si>
  <si>
    <t>Atalanta (Jenko)</t>
  </si>
  <si>
    <t>Borussia Monchengladbach (Poss)</t>
  </si>
  <si>
    <t>RB Leipzig (Ishking11)</t>
  </si>
  <si>
    <t>Benfica (HBK)</t>
  </si>
  <si>
    <t>FC Bayern (Veep)</t>
  </si>
  <si>
    <t>Lazio (mrPanda)</t>
  </si>
  <si>
    <t>5 - 4 (3 - 3)</t>
  </si>
  <si>
    <t>Inter (Ishking11)</t>
  </si>
  <si>
    <t>1 - 4 (0 - 4)</t>
  </si>
  <si>
    <t>5 - 2 (4 - 2)</t>
  </si>
  <si>
    <t>Chile (HBK)</t>
  </si>
  <si>
    <t>Brazil (Phantom)</t>
  </si>
  <si>
    <t>Liverpool (Poss)</t>
  </si>
  <si>
    <t>Mexico (mrPanda)</t>
  </si>
  <si>
    <t>Switzerland (Veep)</t>
  </si>
  <si>
    <t>Turkey (NicolasRage)</t>
  </si>
  <si>
    <t>Poland (REM)</t>
  </si>
  <si>
    <t>Austria (Ishking11)</t>
  </si>
  <si>
    <t>3 - 6 (2 - 1)</t>
  </si>
  <si>
    <t xml:space="preserve">England Cyber Stars League 14:00 - 17:00         </t>
  </si>
  <si>
    <t>Burnley (Poss)</t>
  </si>
  <si>
    <t>1 - 5 (0 - 5)</t>
  </si>
  <si>
    <t>Sheffield United (CarlWhizzer)</t>
  </si>
  <si>
    <t>Lazio (HBK)</t>
  </si>
  <si>
    <t>Bayer 04 (Phantom)</t>
  </si>
  <si>
    <t>Norwich City (NicolasRage)</t>
  </si>
  <si>
    <t>Crystal Palace (REM)</t>
  </si>
  <si>
    <t>Brighton (Veep)</t>
  </si>
  <si>
    <t>Sampdoria (ReadingClub)</t>
  </si>
  <si>
    <t>Fiorentina (HBK)</t>
  </si>
  <si>
    <t>Parma (Phantom)</t>
  </si>
  <si>
    <t>Udinese (Ishking11)</t>
  </si>
  <si>
    <t>Borussia Dortmund (REM)</t>
  </si>
  <si>
    <t>Atletico Madrid (Veep)</t>
  </si>
  <si>
    <t>4 - 2 (4 - 2)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</si>
  <si>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</si>
  <si>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</si>
  <si>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</si>
  <si>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</si>
  <si>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</si>
  <si>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</si>
  <si>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</si>
  <si>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</si>
  <si>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</si>
  <si>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</si>
  <si>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Hoffenheim (RedDevil)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</si>
  <si>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</si>
  <si>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</si>
  <si>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</si>
  <si>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</si>
  <si>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</si>
  <si>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</si>
  <si>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</si>
  <si>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</si>
  <si>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</si>
  <si>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</si>
  <si>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</si>
  <si>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</si>
  <si>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</si>
  <si>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</si>
  <si>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FC Bayern (Ishking11)</t>
  </si>
  <si>
    <t>Atletico Madrid (mrPanda)</t>
  </si>
  <si>
    <t>8 - 0 (3 - 0)</t>
  </si>
  <si>
    <t>Nice (HBK)</t>
  </si>
  <si>
    <t>Lille (Phantom)</t>
  </si>
  <si>
    <t>Bourdeux (LiveStrong)</t>
  </si>
  <si>
    <t>Eintracht (HBK)</t>
  </si>
  <si>
    <t>Werder Bremen (Jenko)</t>
  </si>
  <si>
    <t>0 - 10 (0 - 5)</t>
  </si>
  <si>
    <t>Koln (CarlWhizzer)</t>
  </si>
  <si>
    <t>Wolfsburg (mrPanda)</t>
  </si>
  <si>
    <t>Hoffenheim (Veep)</t>
  </si>
  <si>
    <t>1 - 7 (0 - 3)</t>
  </si>
  <si>
    <t>3 - 6 (1 - 4)</t>
  </si>
  <si>
    <t>Cyber Europa League 23:00 - 02:00</t>
  </si>
  <si>
    <t>Arsenal (Poss)</t>
  </si>
  <si>
    <t>Lazio (Phantom)</t>
  </si>
  <si>
    <t>Porto (LiveStrong)</t>
  </si>
  <si>
    <t>4 - 3 (0 - 1)</t>
  </si>
  <si>
    <t xml:space="preserve">France Cyber Stars League 14:00 - 17:00                </t>
  </si>
  <si>
    <t>PSG (Miller)</t>
  </si>
  <si>
    <t>Marseille (Poss)</t>
  </si>
  <si>
    <t>Lyon (Veep)</t>
  </si>
  <si>
    <t>3 - 7 (1 - 1)</t>
  </si>
  <si>
    <t>Monaco (HBK)</t>
  </si>
  <si>
    <t>PSG (Phantom)</t>
  </si>
  <si>
    <t>Lille (NicolasRage)</t>
  </si>
  <si>
    <t>2 - 5 (0 - 1)</t>
  </si>
  <si>
    <t>Manchester United (Miller)</t>
  </si>
  <si>
    <t>Everton (Veep)</t>
  </si>
  <si>
    <t xml:space="preserve">Cyber Europa League 11:00 - 14:00                </t>
  </si>
  <si>
    <t>Leicester (ReadingClub)</t>
  </si>
  <si>
    <t>Wolverhampton (Jenko)</t>
  </si>
  <si>
    <t>Watford (Poss)</t>
  </si>
  <si>
    <t>Porto (Veep)</t>
  </si>
  <si>
    <t>Sevilla (Jenko)</t>
  </si>
  <si>
    <t>Manchester United (Phantom)</t>
  </si>
  <si>
    <t xml:space="preserve">4 - 2 (3 - 2) </t>
  </si>
  <si>
    <t xml:space="preserve">Cyber Champions League 14:00 - 17:00                </t>
  </si>
  <si>
    <t>Chelsea (ReadingClub)</t>
  </si>
  <si>
    <t>Borussia Dortmund (LiveStrong)</t>
  </si>
  <si>
    <t>Tottenham (Phantom)</t>
  </si>
  <si>
    <t>3 - 5 (0 - 1)</t>
  </si>
  <si>
    <t>FC Bayern (RedDevil)</t>
  </si>
  <si>
    <t>Barcelona (NicolasRage)</t>
  </si>
  <si>
    <t>2 - 5 (2 - 4)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</si>
  <si>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</si>
  <si>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</si>
  <si>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</si>
  <si>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</si>
  <si>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</si>
  <si>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</si>
  <si>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Uruguay (Miller)</t>
  </si>
  <si>
    <t>Mexico (RedDevil)</t>
  </si>
  <si>
    <t>Switzerland (NicolasRage)</t>
  </si>
  <si>
    <t>4 - 7 (4 - 4)</t>
  </si>
  <si>
    <t>5 - 3 (2 - 1)</t>
  </si>
  <si>
    <t>Juventus (Phantom)</t>
  </si>
  <si>
    <t>Napoli (Jenko)</t>
  </si>
  <si>
    <t>Milan (ReadingClub)</t>
  </si>
  <si>
    <t>Inter (HBK)</t>
  </si>
  <si>
    <t>Manchester City (NicolasRage)</t>
  </si>
  <si>
    <t>Chelsea (mrPanda)</t>
  </si>
  <si>
    <t>Liverpool (Miller)</t>
  </si>
  <si>
    <t>7 - 0 (5 - 0)</t>
  </si>
  <si>
    <t>Brazil (NicolasRage)</t>
  </si>
  <si>
    <t>Portugal (mrPanda)</t>
  </si>
  <si>
    <t>France (Miller)</t>
  </si>
  <si>
    <t>0 - 8 (0 - 7)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</si>
  <si>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</si>
  <si>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</si>
  <si>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</si>
  <si>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</si>
  <si>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</si>
  <si>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England Cyber Stars League 11:00 - 14:00                </t>
  </si>
  <si>
    <t xml:space="preserve"> 2 - 1 (2 - 0)</t>
  </si>
  <si>
    <t>Everton (ReadingClub)</t>
  </si>
  <si>
    <t>Chelsea (Phantom)</t>
  </si>
  <si>
    <t xml:space="preserve"> 1 - 1 (0 - 1) </t>
  </si>
  <si>
    <t>1 - 5 (0 -3)</t>
  </si>
  <si>
    <t>Brazil (Poss)</t>
  </si>
  <si>
    <t>4 - 6 (1 - 2)</t>
  </si>
  <si>
    <t>Argentina (NicolasRage)</t>
  </si>
  <si>
    <t>France (CarlWhizzer)</t>
  </si>
  <si>
    <t>Portugal (ReadingClub)</t>
  </si>
  <si>
    <t>Belgium (REM)</t>
  </si>
  <si>
    <t>2 - 6 (1 - 1)</t>
  </si>
  <si>
    <t>Lille (Poss)</t>
  </si>
  <si>
    <t>Nice (Jenko)</t>
  </si>
  <si>
    <t>Stade Rennais (LiveStrong)</t>
  </si>
  <si>
    <t>Bourdeux (HBK)</t>
  </si>
  <si>
    <t>Saint-Etienne (ReadingClub)</t>
  </si>
  <si>
    <t xml:space="preserve"> 1 - 3 (1 - 1)</t>
  </si>
  <si>
    <t>7 - 1 (6 - 0)</t>
  </si>
  <si>
    <t xml:space="preserve"> 6 - 1 (3 - 0)</t>
  </si>
  <si>
    <t>5 - 6 (4 - 4)</t>
  </si>
  <si>
    <t>Sporting (Poss)</t>
  </si>
  <si>
    <t>Feyenoord (HBK)</t>
  </si>
  <si>
    <t>Celtic (ReadingClub)</t>
  </si>
  <si>
    <t>PSV (NicolasRage)</t>
  </si>
  <si>
    <t>4 - 5 (1 - 4)</t>
  </si>
  <si>
    <t>6 - 4 (4 - 0)</t>
  </si>
  <si>
    <t>4 - 5 (2 - 2)</t>
  </si>
  <si>
    <t>Switzerland (Poss)</t>
  </si>
  <si>
    <t>Austria (LiveStrong)</t>
  </si>
  <si>
    <t>Turkey (HBK)</t>
  </si>
  <si>
    <t>Germany Cyber Stars League 17:00 - 20:00</t>
  </si>
  <si>
    <t>Werder Bremen (Poss)</t>
  </si>
  <si>
    <t>Hertha BSC (LiveStrong)</t>
  </si>
  <si>
    <t>5 - 3 (1 - 2)</t>
  </si>
  <si>
    <t>Wolfsburg (HBK)</t>
  </si>
  <si>
    <t>Mainz 05 (ReadingClub)</t>
  </si>
  <si>
    <t>Schalke 04 (NicolasRage)</t>
  </si>
  <si>
    <t>4 - 1 (0 - 0)</t>
  </si>
  <si>
    <t>4- 0 (2 - 0)</t>
  </si>
  <si>
    <t>5 - 2 (4 - 1)</t>
  </si>
  <si>
    <t>Sampdoria (LiveStrong)</t>
  </si>
  <si>
    <t>Fiorentina (NicolasRage)</t>
  </si>
  <si>
    <t>Parma (ReadingClub)</t>
  </si>
  <si>
    <t>Udinese (CarlWhizzer)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</si>
  <si>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</si>
  <si>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</si>
  <si>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</si>
  <si>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</si>
  <si>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</si>
  <si>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</si>
  <si>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4 - 4 (0 - 2)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</si>
  <si>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</si>
  <si>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</si>
  <si>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</si>
  <si>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</si>
  <si>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</si>
  <si>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</si>
  <si>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</si>
  <si>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5 - 3 (4 - 2)</t>
  </si>
  <si>
    <t>Lyon (HBK)</t>
  </si>
  <si>
    <t>Monaco (CarlWhizzer)</t>
  </si>
  <si>
    <t>Lille (Jenko)</t>
  </si>
  <si>
    <t>Cyber Europa League 8:00 - 11:00</t>
  </si>
  <si>
    <t>5 - 2 (5 - 1)</t>
  </si>
  <si>
    <t>Wolverhampton (Veep)</t>
  </si>
  <si>
    <t>Hoffenheim (HBK)</t>
  </si>
  <si>
    <t>Eintracht (CarlWhizzer)</t>
  </si>
  <si>
    <t>Koln (NicolasRage)</t>
  </si>
  <si>
    <t>0 - 2 (0 -2)</t>
  </si>
  <si>
    <t>Leicester (OLOM)</t>
  </si>
  <si>
    <t>West Ham United (Veep)</t>
  </si>
  <si>
    <t>Italy (Veep)</t>
  </si>
  <si>
    <t>Wolverhampton (LiveStrong)</t>
  </si>
  <si>
    <t>Spain (Poss)</t>
  </si>
  <si>
    <t>Netherlands (HBK)</t>
  </si>
  <si>
    <t>4 - 6 (3 - 4)</t>
  </si>
  <si>
    <t>Ajax (OLOM)</t>
  </si>
  <si>
    <t>Chelsea (Veep)</t>
  </si>
  <si>
    <t>Atalanta (LiveStrong)</t>
  </si>
  <si>
    <t>Real Betis (CarlWhizzer)</t>
  </si>
  <si>
    <t>Atletico Madrid (LiveStrong)</t>
  </si>
  <si>
    <t>Real Madrid (OLOM)</t>
  </si>
  <si>
    <t>5 - 5 (2 - 2)</t>
  </si>
  <si>
    <t>5 - 4 (2 - 2)</t>
  </si>
  <si>
    <t>3 - 4 (3 - 2)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</si>
  <si>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</si>
  <si>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</si>
  <si>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</si>
  <si>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</si>
  <si>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</si>
  <si>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</si>
  <si>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</si>
  <si>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</si>
  <si>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</si>
  <si>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</si>
  <si>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</si>
  <si>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</si>
  <si>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</si>
  <si>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</si>
  <si>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</si>
  <si>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</si>
  <si>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</si>
  <si>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</si>
  <si>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</si>
  <si>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Eintracht (Jenko)</t>
  </si>
  <si>
    <t>Werder Bremen (ReadingClub)</t>
  </si>
  <si>
    <t>Crystal Palace (Jenko)</t>
  </si>
  <si>
    <t>Burnley (ReadingClub)</t>
  </si>
  <si>
    <t>Brighton (HBK)</t>
  </si>
  <si>
    <t>Sheffield United (Poss)</t>
  </si>
  <si>
    <t>Real Betis (REM)</t>
  </si>
  <si>
    <t>Athletic Club (Jenko)</t>
  </si>
  <si>
    <t>Getafe (Veep)</t>
  </si>
  <si>
    <t>Villarreal (OLOM)</t>
  </si>
  <si>
    <t>Italy Cyber Stars League 9:00 - 12:00</t>
  </si>
  <si>
    <t>France Cyber Stars League 17:00 - 20:00</t>
  </si>
  <si>
    <t>Lazio (RedDevil)</t>
  </si>
  <si>
    <t>Saint-Etienne (OLOM)</t>
  </si>
  <si>
    <t>5 - 2 (0 - 2)</t>
  </si>
  <si>
    <t>Cyber Europa League 12:00 - 15:00</t>
  </si>
  <si>
    <t>Basaksehir (REM)</t>
  </si>
  <si>
    <t>Stade Rennais (RedDevil)</t>
  </si>
  <si>
    <t>Espanyol (Jenko)</t>
  </si>
  <si>
    <t>PSV (ReadingClub)</t>
  </si>
  <si>
    <t>Cyber Champions League 9:00 - 12:00</t>
  </si>
  <si>
    <t>Ajax (LiveStrong)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</si>
  <si>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</si>
  <si>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</si>
  <si>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</si>
  <si>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</si>
  <si>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</si>
  <si>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</si>
  <si>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</si>
  <si>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</si>
  <si>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</si>
  <si>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</si>
  <si>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</si>
  <si>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</si>
  <si>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</si>
  <si>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</si>
  <si>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</si>
  <si>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</si>
  <si>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</si>
  <si>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</si>
  <si>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</si>
  <si>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</si>
  <si>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</si>
  <si>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</si>
  <si>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</si>
  <si>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Montpellier (CarlWhizzer)</t>
  </si>
  <si>
    <t>Schalke 04 (Mistyeye)</t>
  </si>
  <si>
    <t>Mainz 05 (CarlWhizzer)</t>
  </si>
  <si>
    <t>Hertha BSC (Jenko)</t>
  </si>
  <si>
    <t>Wolfsburg (NicolasRage)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</si>
  <si>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</si>
  <si>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</si>
  <si>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</si>
  <si>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</si>
  <si>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</si>
  <si>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</si>
  <si>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Gent (Veep)</t>
  </si>
  <si>
    <t>CSKA Moscow (Mistyeye)</t>
  </si>
  <si>
    <t>Celtic (NicolasRage)</t>
  </si>
  <si>
    <t>7 - 2 (4 - 1)</t>
  </si>
  <si>
    <t>Denmark (Jenko)</t>
  </si>
  <si>
    <t>Mexico (CarlWhizzer)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</si>
  <si>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</si>
  <si>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</si>
  <si>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</si>
  <si>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</si>
  <si>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</si>
  <si>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</si>
  <si>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</si>
  <si>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</si>
  <si>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</si>
  <si>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</si>
  <si>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</si>
  <si>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</si>
  <si>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</si>
  <si>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</si>
  <si>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</si>
  <si>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</si>
  <si>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</si>
  <si>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</si>
  <si>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</si>
  <si>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</si>
  <si>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</si>
  <si>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</si>
  <si>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</si>
  <si>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2 - 4 (2 - 3)</t>
  </si>
  <si>
    <t>3 - 5 (0 - 4)</t>
  </si>
  <si>
    <t>PSG (NicolasRage)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</si>
  <si>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</si>
  <si>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</si>
  <si>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</si>
  <si>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</si>
  <si>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</si>
  <si>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</si>
  <si>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</si>
  <si>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</si>
  <si>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</si>
  <si>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</si>
  <si>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</si>
  <si>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</si>
  <si>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</si>
  <si>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5 - 1 (0 - 1)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</si>
  <si>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</si>
  <si>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</si>
  <si>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</si>
  <si>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</si>
  <si>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</si>
  <si>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5 - 2 (4 - 0)</t>
  </si>
  <si>
    <t>4 - 2 (0 - 2)</t>
  </si>
  <si>
    <t>2 - 7 (2 - 2)</t>
  </si>
  <si>
    <t>PSG (REM)</t>
  </si>
  <si>
    <t>FC Bayern (HBK)</t>
  </si>
  <si>
    <t>1 - 0 (2 - 1)</t>
  </si>
  <si>
    <t>Cyber World Cup 12:00 - 15:00</t>
  </si>
  <si>
    <t>Germany (REM)</t>
  </si>
  <si>
    <t>Argentina (HBK)</t>
  </si>
  <si>
    <t>Brazil (CarlWhizzer)</t>
  </si>
  <si>
    <t>Belgium (Jenko)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</si>
  <si>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</si>
  <si>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</si>
  <si>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</si>
  <si>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</si>
  <si>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</si>
  <si>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</si>
  <si>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</si>
  <si>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Burnley (Veep)</t>
  </si>
  <si>
    <t>Bournemouth (Poss)</t>
  </si>
  <si>
    <t>FC Bayern (OLOM)</t>
  </si>
  <si>
    <t>Bayer 04 (NicolasRage)</t>
  </si>
  <si>
    <t>Borussia Dortmund (Poss)</t>
  </si>
  <si>
    <t>Atalanta (Veep)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</si>
  <si>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</si>
  <si>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</si>
  <si>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</si>
  <si>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</si>
  <si>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</si>
  <si>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</si>
  <si>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Udinese (Jenko)</t>
  </si>
  <si>
    <t>Borussia Dortmund (CaTman)</t>
  </si>
  <si>
    <t>Bayer 04 (LiveStrong)</t>
  </si>
  <si>
    <t>RB Leipzig (Jenko)</t>
  </si>
  <si>
    <t>Inter (NicolasRage)</t>
  </si>
  <si>
    <t>1 - 5 (1 - 0)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</si>
  <si>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</si>
  <si>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</si>
  <si>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</si>
  <si>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</si>
  <si>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</si>
  <si>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</si>
  <si>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</si>
  <si>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</si>
  <si>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</si>
  <si>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</si>
  <si>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</si>
  <si>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</si>
  <si>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</si>
  <si>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</si>
  <si>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</si>
  <si>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</si>
  <si>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</si>
  <si>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</si>
  <si>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</si>
  <si>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</si>
  <si>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</si>
  <si>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</si>
  <si>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</si>
  <si>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</si>
  <si>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</si>
  <si>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</si>
  <si>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</si>
  <si>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</si>
  <si>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</si>
  <si>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Juventus (HBK)</t>
  </si>
  <si>
    <t>England Cyber Stars 11:00 - 14:00</t>
  </si>
  <si>
    <t>Arsenal (LiveStrong)</t>
  </si>
  <si>
    <t>Manchester City (CarlWhizzer)</t>
  </si>
  <si>
    <t>2 - 7 (0 - 2)</t>
  </si>
  <si>
    <t>FC Bayern (Jenko)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</si>
  <si>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</si>
  <si>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</si>
  <si>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</si>
  <si>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</si>
  <si>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</si>
  <si>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</si>
  <si>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</si>
  <si>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</si>
  <si>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</si>
  <si>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</si>
  <si>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</si>
  <si>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</si>
  <si>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2 - 3 (2 - 3)</t>
  </si>
  <si>
    <t>France (mrPanda)</t>
  </si>
  <si>
    <t>Brazil (HBK)</t>
  </si>
  <si>
    <t>Belgium (CarlWhizzer)</t>
  </si>
  <si>
    <t>Juventus (OLOM)</t>
  </si>
  <si>
    <t>Milan (HBK)</t>
  </si>
  <si>
    <t>Lazio (Poss)</t>
  </si>
  <si>
    <t>Montpellier (ReadingClub)</t>
  </si>
  <si>
    <t>Saint-Etienne (CarlWhizzer)</t>
  </si>
  <si>
    <t>Nice (mrPanda)</t>
  </si>
  <si>
    <t>Bourdeux (Mistyeye)</t>
  </si>
  <si>
    <t>Spain Cyber Stars League 17:00 - 20:00</t>
  </si>
  <si>
    <t>Barcelona (OLOM)</t>
  </si>
  <si>
    <t>4 - 1 (1- 0)</t>
  </si>
  <si>
    <t>Benfica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</si>
  <si>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</si>
  <si>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</si>
  <si>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</si>
  <si>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</si>
  <si>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</si>
  <si>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</si>
  <si>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</si>
  <si>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</si>
  <si>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</si>
  <si>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</si>
  <si>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</si>
  <si>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Wolverhampton (REM)</t>
  </si>
  <si>
    <t>Everton (Mistyeye)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</si>
  <si>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</si>
  <si>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</si>
  <si>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</si>
  <si>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</si>
  <si>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</si>
  <si>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</si>
  <si>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</si>
  <si>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</si>
  <si>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</si>
  <si>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Netherlands (REM)</t>
  </si>
  <si>
    <t>Spain (Mistyeye)</t>
  </si>
  <si>
    <t>6 - 3 (4 - 2)</t>
  </si>
  <si>
    <t>England Cyber Stars League 9:00 - 12:00</t>
  </si>
  <si>
    <t>Manchester United (Veep)</t>
  </si>
  <si>
    <t>Liverpool (mrPanda)</t>
  </si>
  <si>
    <t>Chelsea (Jenko)</t>
  </si>
  <si>
    <t>Atletico Madrid (RedDevil)</t>
  </si>
  <si>
    <t>Sevilla (mrPanda)</t>
  </si>
  <si>
    <t>5 - 1 (5 - 0)</t>
  </si>
  <si>
    <t xml:space="preserve"> 0 - 0 (0 - 0)</t>
  </si>
  <si>
    <t>1 - 7 (0 - 2)</t>
  </si>
  <si>
    <t>2 - 7 (1 - 2)</t>
  </si>
  <si>
    <t>Germany Cyber Stars League 12:00 - 15:00</t>
  </si>
  <si>
    <t>RB Leipzig (Veep)</t>
  </si>
  <si>
    <t>Borussia Monchengladbach (Jenko)</t>
  </si>
  <si>
    <t>Borussia Dortmund (mrPanda)</t>
  </si>
  <si>
    <t>Roma (RedDevil)</t>
  </si>
  <si>
    <t>Getafe (Jenko)</t>
  </si>
  <si>
    <t>3 - 3 (0 - 3)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</si>
  <si>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</si>
  <si>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</si>
  <si>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</si>
  <si>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</si>
  <si>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</si>
  <si>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</si>
  <si>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</si>
  <si>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</si>
  <si>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</si>
  <si>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</si>
  <si>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</si>
  <si>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Manchester United (Mistyeye)</t>
  </si>
  <si>
    <t>Liverpool (CarlWhizzer)</t>
  </si>
  <si>
    <t>Udinese (mrPanda)</t>
  </si>
  <si>
    <t>Sampdoria (Veep)</t>
  </si>
  <si>
    <t>Lazio (Mistyeye)</t>
  </si>
  <si>
    <t>(3 - 1)</t>
  </si>
  <si>
    <t>Valladolid (Jenko)</t>
  </si>
  <si>
    <t>Alaves (mrPanda)</t>
  </si>
  <si>
    <t>Levante (REM)</t>
  </si>
  <si>
    <t>Eibar (Veep)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</si>
  <si>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</si>
  <si>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</si>
  <si>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</si>
  <si>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</si>
  <si>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</si>
  <si>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</si>
  <si>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Napoli (mrPanda)</t>
  </si>
  <si>
    <t>Atletico Madrid (REM)</t>
  </si>
  <si>
    <t>Ajax  (HBK)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</si>
  <si>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</si>
  <si>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</si>
  <si>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</si>
  <si>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</si>
  <si>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</si>
  <si>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</si>
  <si>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</si>
  <si>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</si>
  <si>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</si>
  <si>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</si>
  <si>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</si>
  <si>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</si>
  <si>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</si>
  <si>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</si>
  <si>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</si>
  <si>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Basaksehir (HBK)</t>
  </si>
  <si>
    <t>PSV (Mistyeye)</t>
  </si>
  <si>
    <t>Lille (mrPanda)</t>
  </si>
  <si>
    <t>PSG (ReadingClub)</t>
  </si>
  <si>
    <t>Monaco (REM)</t>
  </si>
  <si>
    <t>Bayer 04 (mrPanda)</t>
  </si>
  <si>
    <t>Lokomotiv Moscow (mrPanda)</t>
  </si>
  <si>
    <t>Olympiacos (HBK)</t>
  </si>
  <si>
    <t>Club Brugge (Mistyeye)</t>
  </si>
  <si>
    <t>2 - 4 (1 - 4)</t>
  </si>
  <si>
    <t>Galatasaray (NicolasRage)</t>
  </si>
  <si>
    <t>3 - 4 (0 - 4)</t>
  </si>
  <si>
    <t>Argentina (Veep)</t>
  </si>
  <si>
    <t>England (mrPanda)</t>
  </si>
  <si>
    <t>Uruguay (Poss)</t>
  </si>
  <si>
    <t>Italy (Jenko)</t>
  </si>
  <si>
    <t>Newcastle United (NicolasRage)</t>
  </si>
  <si>
    <t>Crystal Palace (ReadingClub)</t>
  </si>
  <si>
    <t>1 - 7 (0 - 4)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</si>
  <si>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</si>
  <si>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</si>
  <si>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</si>
  <si>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</si>
  <si>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</si>
  <si>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</si>
  <si>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</si>
  <si>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</si>
  <si>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</si>
  <si>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</si>
  <si>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</si>
  <si>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</si>
  <si>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Milan (mrPanda)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</si>
  <si>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</si>
  <si>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</si>
  <si>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</si>
  <si>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</si>
  <si>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</si>
  <si>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</si>
  <si>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</si>
  <si>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</si>
  <si>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</si>
  <si>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8 - 2 (3 - 1)</t>
  </si>
  <si>
    <t>Atletico Madrid (Mistyeye)</t>
  </si>
  <si>
    <t>Barcelona (HBK)</t>
  </si>
  <si>
    <t>Roma (Mistyeye)</t>
  </si>
  <si>
    <t>Eintracht (REM)</t>
  </si>
  <si>
    <t>Getafe (Poss)</t>
  </si>
  <si>
    <t xml:space="preserve"> 0 - 2 (0 - 0)</t>
  </si>
  <si>
    <t>2 - 6 (2 - 5)</t>
  </si>
  <si>
    <t>Brazil (Jenko)</t>
  </si>
  <si>
    <t>Belgium (Mistyeye)</t>
  </si>
  <si>
    <t>RB Leipzig (HBK)</t>
  </si>
  <si>
    <t>France (REM)</t>
  </si>
  <si>
    <t>Germany (Poss)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</si>
  <si>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</si>
  <si>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</si>
  <si>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</si>
  <si>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</si>
  <si>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</si>
  <si>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</si>
  <si>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</si>
  <si>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</si>
  <si>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</si>
  <si>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Crystal Palace (HBK)</t>
  </si>
  <si>
    <t>Aston Villa (Mistyeye)</t>
  </si>
  <si>
    <t>Newcastle United (mrPanda)</t>
  </si>
  <si>
    <t>Torino (CarlWhizzer)</t>
  </si>
  <si>
    <t>1 - 5 (1 - 5)</t>
  </si>
  <si>
    <t>3 - 4 (1 - 4)</t>
  </si>
  <si>
    <t>Sampdoria (CarlWhizzer)</t>
  </si>
  <si>
    <t>Parma (NicolasRage)</t>
  </si>
  <si>
    <t>Lazio (Veep)</t>
  </si>
  <si>
    <t>Porto  (HBK)</t>
  </si>
  <si>
    <t>Portugal (Jenko)</t>
  </si>
  <si>
    <t>Italy (CarlWhizzer)</t>
  </si>
  <si>
    <t>Netherlands (mrPanda)</t>
  </si>
  <si>
    <t>Mainz 05 (Mistyeye)</t>
  </si>
  <si>
    <t>Hertha BSC (HBK)</t>
  </si>
  <si>
    <t>Werder Bremen (CarlWhizzer)</t>
  </si>
  <si>
    <t>Schalke 04 (mrPanda)</t>
  </si>
  <si>
    <t>5 - 4 (1 - 2)</t>
  </si>
  <si>
    <t>Denmark (ReadingClub)</t>
  </si>
  <si>
    <t>Mexico (LiveStrong)</t>
  </si>
  <si>
    <t>Poland (HBK)</t>
  </si>
  <si>
    <t>Real Madrid (REM)</t>
  </si>
  <si>
    <t>7 - 4 (4 - 0)</t>
  </si>
  <si>
    <t>Valladolid (ReadingClub)</t>
  </si>
  <si>
    <t>Alaves (Jenko)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</si>
  <si>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</si>
  <si>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</si>
  <si>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</si>
  <si>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</si>
  <si>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</si>
  <si>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</si>
  <si>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</si>
  <si>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</si>
  <si>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</si>
  <si>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</si>
  <si>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</si>
  <si>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</si>
  <si>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</si>
  <si>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Club Brugge (mrPanda)</t>
  </si>
  <si>
    <t>Ajax  (Jenko)</t>
  </si>
  <si>
    <t>Lokomotiv Moscow (Mistyeye)</t>
  </si>
  <si>
    <t>Valencia (HBK)</t>
  </si>
  <si>
    <t>Galatasaray (HBK)</t>
  </si>
  <si>
    <t>Olympiacos (CarlWhizzer)</t>
  </si>
  <si>
    <t>7 - 2 (3 - 2)</t>
  </si>
  <si>
    <t>3 - 5 (1 - 0)</t>
  </si>
  <si>
    <t>Belgium (mrPanda)</t>
  </si>
  <si>
    <t>Germany (Mistyeye)</t>
  </si>
  <si>
    <t>France (NicolasRage)</t>
  </si>
  <si>
    <t>Monaco (NicolasRage)</t>
  </si>
  <si>
    <t>5 - 5 (4 - 2)</t>
  </si>
  <si>
    <t>4 - 4 (0 - 1)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</si>
  <si>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</si>
  <si>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</si>
  <si>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</si>
  <si>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</si>
  <si>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</si>
  <si>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</si>
  <si>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</si>
  <si>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</si>
  <si>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</si>
  <si>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</si>
  <si>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</si>
  <si>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</si>
  <si>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</si>
  <si>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</si>
  <si>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</si>
  <si>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</si>
  <si>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</si>
  <si>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</si>
  <si>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</si>
  <si>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</si>
  <si>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</si>
  <si>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</si>
  <si>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</si>
  <si>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</si>
  <si>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England Cyber Stars League  8:00 - 11:00</t>
  </si>
  <si>
    <t>Watford (mrPanda)</t>
  </si>
  <si>
    <t>West Ham United (LiveStrong)</t>
  </si>
  <si>
    <t>Wolverhampton (HBK)</t>
  </si>
  <si>
    <t>Leicester (CarlWhizzer)</t>
  </si>
  <si>
    <t>Everton (NicolasRage)</t>
  </si>
  <si>
    <t>FC Bayern (mrPanda)</t>
  </si>
  <si>
    <t>Levante (mrPanda)</t>
  </si>
  <si>
    <t>1 - 0 (1- 0)</t>
  </si>
  <si>
    <t>Alaves (Mistyeye)</t>
  </si>
  <si>
    <t>Celta (CarlWhizzer)</t>
  </si>
  <si>
    <t>6 - 1 (5 - 1)</t>
  </si>
  <si>
    <t>5 - 2 (1 - 0)</t>
  </si>
  <si>
    <t>Switzerland (LiveStrong)</t>
  </si>
  <si>
    <t>Austria (HBK)</t>
  </si>
  <si>
    <t>0 - 0 (1 - 1)</t>
  </si>
  <si>
    <t>4 - 4 (2 - 1)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</si>
  <si>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</si>
  <si>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</si>
  <si>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</si>
  <si>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</si>
  <si>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</si>
  <si>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</si>
  <si>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</si>
  <si>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</si>
  <si>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</si>
  <si>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</si>
  <si>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</si>
  <si>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</si>
  <si>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</si>
  <si>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Cyber World Cup 9:00 - 12:00</t>
  </si>
  <si>
    <t>Spain (RedDevil)</t>
  </si>
  <si>
    <t>6 - 4 (6 - 1)</t>
  </si>
  <si>
    <t>Belgium (HBK)</t>
  </si>
  <si>
    <t>Italy (LiveStrong)</t>
  </si>
  <si>
    <t>Portugal (Veep)</t>
  </si>
  <si>
    <t>England (Jenko)</t>
  </si>
  <si>
    <t>Netherlands (RedDevil)</t>
  </si>
  <si>
    <t>AZ (REM)</t>
  </si>
  <si>
    <t>BSC Young Boys (RedDevil)</t>
  </si>
  <si>
    <t>3 - 7 (1 - 3)</t>
  </si>
  <si>
    <t>Dynamo Kyiv (Jenko)</t>
  </si>
  <si>
    <t>6 - 0 (5 - 0)</t>
  </si>
  <si>
    <t>7 - 2 (3 - 1)</t>
  </si>
  <si>
    <t>4 - 5 (3 - 1)</t>
  </si>
  <si>
    <t>Borussia Dortmund (Mistyeye)</t>
  </si>
  <si>
    <t>FC Bayern (LiveStrong)</t>
  </si>
  <si>
    <t>Basaksehir (Mistyeye)</t>
  </si>
  <si>
    <t>PSV (HBK)</t>
  </si>
  <si>
    <t>Sporting (LiveStrong)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</si>
  <si>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</si>
  <si>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</si>
  <si>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</si>
  <si>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</si>
  <si>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</si>
  <si>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</si>
  <si>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Valencia (Mistyeye)</t>
  </si>
  <si>
    <t>Ajax (HBK)</t>
  </si>
  <si>
    <t>4 - 4 (4 - 2)</t>
  </si>
  <si>
    <t>Denmark (mrPanda)</t>
  </si>
  <si>
    <t>Austria (Mistyeye)</t>
  </si>
  <si>
    <t>Chile (mrPanda)</t>
  </si>
  <si>
    <t>Colombia (Mistyeye)</t>
  </si>
  <si>
    <t>Paraguay  (HBK)</t>
  </si>
  <si>
    <t>Uruguay (CarlWhizzer)</t>
  </si>
  <si>
    <t>Saint-Etienne (REM)</t>
  </si>
  <si>
    <t>Bourdeux (RedDevil)</t>
  </si>
  <si>
    <t>5 - 4 (3 - 1)</t>
  </si>
  <si>
    <t>Lazio (LiveStrong)</t>
  </si>
  <si>
    <t>Villarreal (ReadingClub)</t>
  </si>
  <si>
    <t>Athletic Club (HBK)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</si>
  <si>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</si>
  <si>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</si>
  <si>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</si>
  <si>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</si>
  <si>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</si>
  <si>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</si>
  <si>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</si>
  <si>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</si>
  <si>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</si>
  <si>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</si>
  <si>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</si>
  <si>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</si>
  <si>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>Shakhtar Donetsk (Poss)</t>
  </si>
  <si>
    <t>Olympiacos (Jenko)</t>
  </si>
  <si>
    <t>Galatasaray (JoKeR)</t>
  </si>
  <si>
    <t xml:space="preserve">Italy Cyber Stars League 11:00 - 14:00            </t>
  </si>
  <si>
    <t>Torino (mrPanda)</t>
  </si>
  <si>
    <t>Milan (Mistyeye)</t>
  </si>
  <si>
    <t>Argentina (Poss)</t>
  </si>
  <si>
    <t>France (JoKeR)</t>
  </si>
  <si>
    <t>1 - 7 (0 - 1)</t>
  </si>
  <si>
    <t xml:space="preserve">Cyber Europa League 14:00 - 17:00           </t>
  </si>
  <si>
    <t>1 -1 (0 - 1)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</si>
  <si>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</si>
  <si>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</si>
  <si>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</si>
  <si>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</si>
  <si>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</si>
  <si>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</si>
  <si>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</si>
  <si>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</si>
  <si>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</si>
  <si>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</si>
  <si>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</si>
  <si>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</si>
  <si>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</si>
  <si>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</si>
  <si>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</si>
  <si>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</si>
  <si>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</si>
  <si>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</si>
  <si>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</si>
  <si>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</si>
  <si>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</si>
  <si>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 xml:space="preserve">Germany Cyber Stars League 11:00 - 14:00                </t>
  </si>
  <si>
    <t>LASK (Mistyeye)</t>
  </si>
  <si>
    <t>Borussia Monchengladbach (mrPanda)</t>
  </si>
  <si>
    <t>FC Bayern (Mistyeye)</t>
  </si>
  <si>
    <t xml:space="preserve">Cyber Champions League  11:00 - 14:00                </t>
  </si>
  <si>
    <t>Juventus (Veep)</t>
  </si>
  <si>
    <t xml:space="preserve">Cyber Champions League  14:00 - 17:00                </t>
  </si>
  <si>
    <t xml:space="preserve">Germany Cyber Stars League  14:00 - 17:00                </t>
  </si>
  <si>
    <t>0 - 4 (1 - 0)</t>
  </si>
  <si>
    <t>Schalke 04 (Jenko)</t>
  </si>
  <si>
    <t>Wolfsburg (REM)</t>
  </si>
  <si>
    <t>0 - 2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</si>
  <si>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</si>
  <si>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</si>
  <si>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</si>
  <si>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</si>
  <si>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</si>
  <si>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</si>
  <si>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</si>
  <si>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</si>
  <si>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</si>
  <si>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</si>
  <si>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</si>
  <si>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>7 - 1 (2 - 0)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</si>
  <si>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</si>
  <si>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</si>
  <si>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</si>
  <si>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</si>
  <si>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</si>
  <si>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</si>
  <si>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Champions League  9:00 - 12:00   </t>
  </si>
  <si>
    <t>Juventus (CarlWhizzer)</t>
  </si>
  <si>
    <t xml:space="preserve">Cyber Europa League 11:00 - 14:00		</t>
  </si>
  <si>
    <t>Borussia Monchengladbach (Mistyeye)</t>
  </si>
  <si>
    <t xml:space="preserve"> 1 - 2 (1 - 2)</t>
  </si>
  <si>
    <t>France (Veep)</t>
  </si>
  <si>
    <t>Argentina (Jenko)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</si>
  <si>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</si>
  <si>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</si>
  <si>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</si>
  <si>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</si>
  <si>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</si>
  <si>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</si>
  <si>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</si>
  <si>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</si>
  <si>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</si>
  <si>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</si>
  <si>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</si>
  <si>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</si>
  <si>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</si>
  <si>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Germany Cyber Stars League 8:00 - 11:00                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</si>
  <si>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</si>
  <si>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</si>
  <si>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</si>
  <si>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</si>
  <si>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</si>
  <si>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</si>
  <si>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</si>
  <si>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</si>
  <si>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</si>
  <si>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</si>
  <si>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</si>
  <si>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</si>
  <si>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</si>
  <si>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</si>
  <si>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</si>
  <si>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</si>
  <si>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</si>
  <si>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</si>
  <si>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</si>
  <si>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</si>
  <si>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</si>
  <si>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Norway (mrPanda)</t>
  </si>
  <si>
    <t>Czech Republic (NicolasRage)</t>
  </si>
  <si>
    <t>Paraguay  (CarlWhizzer)</t>
  </si>
  <si>
    <t>3 - 2</t>
  </si>
  <si>
    <t>Peru (Mistyeye)</t>
  </si>
  <si>
    <t>1 - 4</t>
  </si>
  <si>
    <t>4 - 0</t>
  </si>
  <si>
    <t>2 - 2</t>
  </si>
  <si>
    <t>5 - 1</t>
  </si>
  <si>
    <t>4 - 1</t>
  </si>
  <si>
    <t>5 - 3</t>
  </si>
  <si>
    <t>1 - 5</t>
  </si>
  <si>
    <t>2 - 4</t>
  </si>
  <si>
    <t>Koln (mrPanda)</t>
  </si>
  <si>
    <t>PSV (Jenko)</t>
  </si>
  <si>
    <t>Espanyol (ReadingClub)</t>
  </si>
  <si>
    <t>Stade Rennais (HBK)</t>
  </si>
  <si>
    <t>Basaksehir (Veep)</t>
  </si>
  <si>
    <t>3 - 4</t>
  </si>
  <si>
    <t>0 - 0</t>
  </si>
  <si>
    <t>2 - 5</t>
  </si>
  <si>
    <t xml:space="preserve"> </t>
  </si>
  <si>
    <t>5 - 5</t>
  </si>
  <si>
    <t>LASK (CarlWhizzer)</t>
  </si>
  <si>
    <t>Rosenborg (Mistyeye)</t>
  </si>
  <si>
    <t>Standard Liege (NicolasRage)</t>
  </si>
  <si>
    <t>6 - 0</t>
  </si>
  <si>
    <t>Napoli (LiveStrong)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</si>
  <si>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</si>
  <si>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</si>
  <si>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</si>
  <si>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</si>
  <si>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</si>
  <si>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</si>
  <si>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</si>
  <si>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4 - 3</t>
  </si>
  <si>
    <t>Italy Cyber Stars League  11:00 - 14:00</t>
  </si>
  <si>
    <t>Atalanta (mrPanda)</t>
  </si>
  <si>
    <t>Cyber Champions League  8:00 - 11:00</t>
  </si>
  <si>
    <t>Montpellier (RedDevil)</t>
  </si>
  <si>
    <t>0 - 6</t>
  </si>
  <si>
    <t>2 - 6</t>
  </si>
  <si>
    <t>Ireland (mrPanda)</t>
  </si>
  <si>
    <t>United States (Veep)</t>
  </si>
  <si>
    <t>Greece (CarlWhizzer)</t>
  </si>
  <si>
    <t>Cameroon (Mistyeye)</t>
  </si>
  <si>
    <t>Peru (Veep)</t>
  </si>
  <si>
    <t>Uruguay (RedDevil)</t>
  </si>
  <si>
    <t xml:space="preserve">1 - 1 </t>
  </si>
  <si>
    <t>3 - 5</t>
  </si>
  <si>
    <t>4 - 5</t>
  </si>
  <si>
    <t xml:space="preserve">Italy Cyber Stars League  9:00 - 12:00     </t>
  </si>
  <si>
    <t>Inter (Veep)</t>
  </si>
  <si>
    <t>Napoli (RedDevil)</t>
  </si>
  <si>
    <t>6 - 1</t>
  </si>
  <si>
    <t>PSV (LiveStrong)</t>
  </si>
  <si>
    <t>8 - 1</t>
  </si>
  <si>
    <t>Espanyol (Veep)</t>
  </si>
  <si>
    <t>Sporting (REM)</t>
  </si>
  <si>
    <t>1 - 6</t>
  </si>
  <si>
    <t>4 - 6</t>
  </si>
  <si>
    <t xml:space="preserve">England Cyber Stars League 12:00 - 15:00                </t>
  </si>
  <si>
    <t>6 - 3</t>
  </si>
  <si>
    <t>Manchester City (RedDevil)</t>
  </si>
  <si>
    <t>3 - 10</t>
  </si>
  <si>
    <t>5 - 0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</si>
  <si>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</si>
  <si>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</si>
  <si>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</si>
  <si>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</si>
  <si>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</si>
  <si>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</si>
  <si>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Juventus (mrPanda)</t>
  </si>
  <si>
    <t>Shakhtar Donetsk (Jenko)</t>
  </si>
  <si>
    <t>Dynamo Kyiv (LiveStrong)</t>
  </si>
  <si>
    <t>5 - 2</t>
  </si>
  <si>
    <t>8 - 0</t>
  </si>
  <si>
    <t>Spain Cyber Stars League  8:00 - 11:00</t>
  </si>
  <si>
    <t>7 - 2</t>
  </si>
  <si>
    <t>Parma (mrPanda)</t>
  </si>
  <si>
    <t>6 - 5</t>
  </si>
  <si>
    <t>Sassuolo (Mistyeye)</t>
  </si>
  <si>
    <t>Valencia (CarlWhizzer)</t>
  </si>
  <si>
    <t>Bournemouth (Veep)</t>
  </si>
  <si>
    <t>Crystal Palace (RedDevil)</t>
  </si>
  <si>
    <t>Aston Villa (REM)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</si>
  <si>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</si>
  <si>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</si>
  <si>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</si>
  <si>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</si>
  <si>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</si>
  <si>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</si>
  <si>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</si>
  <si>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</si>
  <si>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</si>
  <si>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</si>
  <si>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</si>
  <si>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</si>
  <si>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</si>
  <si>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</si>
  <si>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</si>
  <si>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</si>
  <si>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</si>
  <si>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</si>
  <si>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</si>
  <si>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</si>
  <si>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</si>
  <si>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</si>
  <si>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</si>
  <si>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</si>
  <si>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</si>
  <si>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</si>
  <si>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</si>
  <si>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</si>
  <si>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</si>
  <si>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</si>
  <si>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</si>
  <si>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</si>
  <si>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</si>
  <si>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</si>
  <si>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</si>
  <si>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</si>
  <si>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</si>
  <si>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</si>
  <si>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</si>
  <si>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Stade Rennais (Mistyeye)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</si>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</sst>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color rgb="FF00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Roboto"/>
    </font>
    <font>
      <b/>
      <sz val="14.0"/>
      <color rgb="FF000000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7" numFmtId="49" xfId="0" applyAlignment="1" applyBorder="1" applyFont="1" applyNumberFormat="1">
      <alignment horizontal="center" vertical="bottom"/>
    </xf>
    <xf borderId="5" fillId="0" fontId="7" numFmtId="49" xfId="0" applyAlignment="1" applyBorder="1" applyFont="1" applyNumberFormat="1">
      <alignment horizontal="center" vertical="bottom"/>
    </xf>
    <xf borderId="5" fillId="2" fontId="8" numFmtId="0" xfId="0" applyAlignment="1" applyBorder="1" applyFill="1" applyFont="1">
      <alignment horizontal="center" readingOrder="0" vertical="bottom"/>
    </xf>
    <xf borderId="5" fillId="0" fontId="4" numFmtId="0" xfId="0" applyAlignment="1" applyBorder="1" applyFont="1">
      <alignment horizontal="center" readingOrder="0" vertical="bottom"/>
    </xf>
    <xf borderId="5" fillId="0" fontId="1" numFmtId="0" xfId="0" applyAlignment="1" applyBorder="1" applyFont="1">
      <alignment vertical="bottom"/>
    </xf>
    <xf borderId="5" fillId="0" fontId="7" numFmtId="49" xfId="0" applyAlignment="1" applyBorder="1" applyFont="1" applyNumberFormat="1">
      <alignment horizontal="center" readingOrder="0" vertical="bottom"/>
    </xf>
    <xf borderId="5" fillId="0" fontId="7" numFmtId="49" xfId="0" applyAlignment="1" applyBorder="1" applyFont="1" applyNumberFormat="1">
      <alignment horizontal="center" readingOrder="0" vertical="bottom"/>
    </xf>
    <xf borderId="5" fillId="0" fontId="9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7" fillId="0" fontId="3" numFmtId="0" xfId="0" applyBorder="1" applyFont="1"/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2" fillId="0" fontId="2" numFmtId="0" xfId="0" applyAlignment="1" applyBorder="1" applyFont="1">
      <alignment horizontal="center" vertical="bottom"/>
    </xf>
    <xf borderId="5" fillId="0" fontId="10" numFmtId="49" xfId="0" applyAlignment="1" applyBorder="1" applyFont="1" applyNumberFormat="1">
      <alignment horizontal="center" readingOrder="0" vertical="bottom"/>
    </xf>
    <xf borderId="5" fillId="0" fontId="11" numFmtId="0" xfId="0" applyAlignment="1" applyBorder="1" applyFont="1">
      <alignment horizontal="center" vertical="bottom"/>
    </xf>
    <xf borderId="5" fillId="2" fontId="4" numFmtId="0" xfId="0" applyAlignment="1" applyBorder="1" applyFont="1">
      <alignment vertical="bottom"/>
    </xf>
    <xf borderId="5" fillId="2" fontId="4" numFmtId="49" xfId="0" applyAlignment="1" applyBorder="1" applyFont="1" applyNumberForma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12" numFmtId="0" xfId="0" applyAlignment="1" applyBorder="1" applyFont="1">
      <alignment horizontal="center" readingOrder="0"/>
    </xf>
    <xf borderId="0" fillId="2" fontId="7" numFmtId="49" xfId="0" applyAlignment="1" applyFont="1" applyNumberFormat="1">
      <alignment horizontal="center" readingOrder="0"/>
    </xf>
    <xf borderId="5" fillId="0" fontId="4" numFmtId="0" xfId="0" applyAlignment="1" applyBorder="1" applyFont="1">
      <alignment horizontal="center" readingOrder="0"/>
    </xf>
    <xf borderId="0" fillId="2" fontId="13" numFmtId="0" xfId="0" applyAlignment="1" applyFon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4" numFmtId="0" xfId="0" applyAlignment="1" applyBorder="1" applyFont="1">
      <alignment vertical="bottom"/>
    </xf>
    <xf borderId="3" fillId="0" fontId="2" numFmtId="0" xfId="0" applyAlignment="1" applyBorder="1" applyFont="1">
      <alignment horizontal="center" readingOrder="0" vertical="bottom"/>
    </xf>
    <xf borderId="5" fillId="2" fontId="14" numFmtId="0" xfId="0" applyAlignment="1" applyBorder="1" applyFont="1">
      <alignment horizontal="center" readingOrder="0"/>
    </xf>
    <xf borderId="0" fillId="0" fontId="1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vertical="bottom"/>
    </xf>
    <xf borderId="0" fillId="2" fontId="7" numFmtId="0" xfId="0" applyAlignment="1" applyFont="1">
      <alignment horizontal="left" readingOrder="0"/>
    </xf>
    <xf borderId="5" fillId="0" fontId="15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16" numFmtId="0" xfId="0" applyAlignment="1" applyBorder="1" applyFont="1">
      <alignment horizontal="center" readingOrder="0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9" numFmtId="0" xfId="0" applyAlignment="1" applyBorder="1" applyFont="1">
      <alignment horizontal="center" readingOrder="0"/>
    </xf>
    <xf borderId="7" fillId="0" fontId="6" numFmtId="0" xfId="0" applyAlignment="1" applyBorder="1" applyFont="1">
      <alignment horizontal="center" readingOrder="0" vertical="bottom"/>
    </xf>
    <xf borderId="7" fillId="0" fontId="17" numFmtId="0" xfId="0" applyAlignment="1" applyBorder="1" applyFont="1">
      <alignment horizontal="center" readingOrder="0" vertical="bottom"/>
    </xf>
    <xf borderId="8" fillId="2" fontId="1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14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10" fillId="0" fontId="6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7" fillId="0" fontId="18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7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7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7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7" numFmtId="0" xfId="0" applyAlignment="1" applyBorder="1" applyFont="1">
      <alignment horizontal="center" readingOrder="0"/>
    </xf>
    <xf borderId="10" fillId="0" fontId="19" numFmtId="0" xfId="0" applyAlignment="1" applyBorder="1" applyFont="1">
      <alignment horizontal="center" readingOrder="0" vertical="bottom"/>
    </xf>
    <xf borderId="5" fillId="2" fontId="7" numFmtId="0" xfId="0" applyAlignment="1" applyBorder="1" applyFont="1">
      <alignment vertical="bottom"/>
    </xf>
    <xf borderId="0" fillId="2" fontId="7" numFmtId="0" xfId="0" applyAlignment="1" applyFont="1">
      <alignment horizontal="center" readingOrder="0"/>
    </xf>
    <xf borderId="5" fillId="2" fontId="7" numFmtId="0" xfId="0" applyAlignment="1" applyBorder="1" applyFont="1">
      <alignment horizontal="left" readingOrder="0"/>
    </xf>
    <xf borderId="0" fillId="0" fontId="1" numFmtId="0" xfId="0" applyFont="1"/>
    <xf borderId="4" fillId="0" fontId="20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vertical="bottom"/>
    </xf>
    <xf borderId="0" fillId="0" fontId="21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2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9" numFmtId="0" xfId="0" applyAlignment="1" applyBorder="1" applyFont="1">
      <alignment horizontal="center" readingOrder="0" vertical="bottom"/>
    </xf>
    <xf borderId="5" fillId="2" fontId="7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0" fillId="0" fontId="23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9</v>
      </c>
      <c r="C3" s="11"/>
      <c r="D3" s="10" t="s">
        <v>12</v>
      </c>
      <c r="E3" s="13" t="str">
        <f>HYPERLINK("https://youtu.be/eYg9D9RX-iI","channel 1")</f>
        <v>channel 1</v>
      </c>
    </row>
    <row r="4">
      <c r="A4" s="7"/>
      <c r="B4" s="10" t="s">
        <v>15</v>
      </c>
      <c r="C4" s="11"/>
      <c r="D4" s="10" t="s">
        <v>19</v>
      </c>
      <c r="E4" s="13" t="str">
        <f>HYPERLINK("https://youtu.be/CjhZvFWqQFA","channel 2")</f>
        <v>channel 2</v>
      </c>
    </row>
    <row r="5">
      <c r="A5" s="7"/>
      <c r="B5" s="10" t="s">
        <v>25</v>
      </c>
      <c r="C5" s="11"/>
      <c r="D5" s="10" t="s">
        <v>9</v>
      </c>
      <c r="E5" s="14" t="s">
        <v>26</v>
      </c>
    </row>
    <row r="6">
      <c r="A6" s="7"/>
      <c r="B6" s="10" t="s">
        <v>15</v>
      </c>
      <c r="C6" s="11"/>
      <c r="D6" s="10" t="s">
        <v>12</v>
      </c>
      <c r="E6" s="14" t="s">
        <v>28</v>
      </c>
    </row>
    <row r="7">
      <c r="A7" s="7"/>
      <c r="B7" s="10" t="s">
        <v>25</v>
      </c>
      <c r="C7" s="11"/>
      <c r="D7" s="10" t="s">
        <v>19</v>
      </c>
      <c r="E7" s="14" t="s">
        <v>26</v>
      </c>
    </row>
    <row r="8">
      <c r="A8" s="7"/>
      <c r="B8" s="10" t="s">
        <v>15</v>
      </c>
      <c r="C8" s="11"/>
      <c r="D8" s="10" t="s">
        <v>9</v>
      </c>
      <c r="E8" s="14" t="s">
        <v>28</v>
      </c>
    </row>
    <row r="9">
      <c r="A9" s="7"/>
      <c r="B9" s="10" t="s">
        <v>25</v>
      </c>
      <c r="C9" s="11"/>
      <c r="D9" s="10" t="s">
        <v>12</v>
      </c>
      <c r="E9" s="14" t="s">
        <v>26</v>
      </c>
    </row>
    <row r="10">
      <c r="A10" s="7"/>
      <c r="B10" s="10" t="s">
        <v>19</v>
      </c>
      <c r="C10" s="11"/>
      <c r="D10" s="10" t="s">
        <v>9</v>
      </c>
      <c r="E10" s="14" t="s">
        <v>28</v>
      </c>
    </row>
    <row r="11">
      <c r="A11" s="7"/>
      <c r="B11" s="10" t="s">
        <v>25</v>
      </c>
      <c r="C11" s="11"/>
      <c r="D11" s="10" t="s">
        <v>15</v>
      </c>
      <c r="E11" s="14" t="s">
        <v>26</v>
      </c>
    </row>
    <row r="12">
      <c r="A12" s="7"/>
      <c r="B12" s="10" t="s">
        <v>19</v>
      </c>
      <c r="C12" s="11"/>
      <c r="D12" s="10" t="s">
        <v>12</v>
      </c>
      <c r="E12" s="14" t="s">
        <v>28</v>
      </c>
    </row>
    <row r="13">
      <c r="A13" s="7"/>
      <c r="B13" s="10" t="s">
        <v>12</v>
      </c>
      <c r="C13" s="11"/>
      <c r="D13" s="10" t="s">
        <v>9</v>
      </c>
      <c r="E13" s="14" t="s">
        <v>26</v>
      </c>
    </row>
    <row r="14">
      <c r="A14" s="7"/>
      <c r="B14" s="10" t="s">
        <v>19</v>
      </c>
      <c r="C14" s="8"/>
      <c r="D14" s="10" t="s">
        <v>15</v>
      </c>
      <c r="E14" s="14" t="s">
        <v>28</v>
      </c>
    </row>
    <row r="15">
      <c r="A15" s="7"/>
      <c r="B15" s="10" t="s">
        <v>9</v>
      </c>
      <c r="C15" s="8"/>
      <c r="D15" s="10" t="s">
        <v>25</v>
      </c>
      <c r="E15" s="14" t="s">
        <v>26</v>
      </c>
    </row>
    <row r="16">
      <c r="A16" s="7"/>
      <c r="B16" s="10" t="s">
        <v>12</v>
      </c>
      <c r="C16" s="11"/>
      <c r="D16" s="10" t="s">
        <v>15</v>
      </c>
      <c r="E16" s="14" t="s">
        <v>28</v>
      </c>
    </row>
    <row r="17">
      <c r="A17" s="7"/>
      <c r="B17" s="10" t="s">
        <v>19</v>
      </c>
      <c r="C17" s="11"/>
      <c r="D17" s="10" t="s">
        <v>25</v>
      </c>
      <c r="E17" s="14" t="s">
        <v>26</v>
      </c>
    </row>
    <row r="18">
      <c r="A18" s="7"/>
      <c r="B18" s="10" t="s">
        <v>9</v>
      </c>
      <c r="C18" s="11"/>
      <c r="D18" s="10" t="s">
        <v>15</v>
      </c>
      <c r="E18" s="14" t="s">
        <v>28</v>
      </c>
    </row>
    <row r="19">
      <c r="A19" s="7"/>
      <c r="B19" s="10" t="s">
        <v>12</v>
      </c>
      <c r="C19" s="15"/>
      <c r="D19" s="10" t="s">
        <v>25</v>
      </c>
      <c r="E19" s="14" t="s">
        <v>26</v>
      </c>
    </row>
    <row r="20">
      <c r="A20" s="7"/>
      <c r="B20" s="10" t="s">
        <v>9</v>
      </c>
      <c r="C20" s="16"/>
      <c r="D20" s="10" t="s">
        <v>19</v>
      </c>
      <c r="E20" s="14" t="s">
        <v>28</v>
      </c>
    </row>
    <row r="21">
      <c r="A21" s="7"/>
      <c r="B21" s="10" t="s">
        <v>15</v>
      </c>
      <c r="C21" s="16"/>
      <c r="D21" s="10" t="s">
        <v>25</v>
      </c>
      <c r="E21" s="14" t="s">
        <v>26</v>
      </c>
    </row>
    <row r="22">
      <c r="A22" s="7"/>
      <c r="B22" s="10" t="s">
        <v>12</v>
      </c>
      <c r="C22" s="16"/>
      <c r="D22" s="10" t="s">
        <v>19</v>
      </c>
      <c r="E22" s="14" t="s">
        <v>28</v>
      </c>
    </row>
    <row r="23">
      <c r="A23" s="7"/>
      <c r="B23" s="2" t="s">
        <v>41</v>
      </c>
      <c r="C23" s="3"/>
      <c r="D23" s="4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48</v>
      </c>
      <c r="C25" s="11"/>
      <c r="D25" s="10" t="s">
        <v>50</v>
      </c>
      <c r="E25" s="14" t="s">
        <v>26</v>
      </c>
    </row>
    <row r="26">
      <c r="A26" s="7"/>
      <c r="B26" s="10" t="s">
        <v>51</v>
      </c>
      <c r="C26" s="11"/>
      <c r="D26" s="10" t="s">
        <v>52</v>
      </c>
      <c r="E26" s="14" t="s">
        <v>28</v>
      </c>
    </row>
    <row r="27">
      <c r="A27" s="7"/>
      <c r="B27" s="10" t="s">
        <v>53</v>
      </c>
      <c r="C27" s="11"/>
      <c r="D27" s="10" t="s">
        <v>48</v>
      </c>
      <c r="E27" s="14" t="s">
        <v>26</v>
      </c>
    </row>
    <row r="28">
      <c r="A28" s="7"/>
      <c r="B28" s="10" t="s">
        <v>51</v>
      </c>
      <c r="C28" s="11"/>
      <c r="D28" s="10" t="s">
        <v>50</v>
      </c>
      <c r="E28" s="14" t="s">
        <v>28</v>
      </c>
    </row>
    <row r="29">
      <c r="A29" s="7"/>
      <c r="B29" s="10" t="s">
        <v>53</v>
      </c>
      <c r="C29" s="11"/>
      <c r="D29" s="10" t="s">
        <v>52</v>
      </c>
      <c r="E29" s="14" t="s">
        <v>26</v>
      </c>
    </row>
    <row r="30">
      <c r="A30" s="7"/>
      <c r="B30" s="10" t="s">
        <v>51</v>
      </c>
      <c r="C30" s="11"/>
      <c r="D30" s="10" t="s">
        <v>48</v>
      </c>
      <c r="E30" s="14" t="s">
        <v>28</v>
      </c>
    </row>
    <row r="31">
      <c r="A31" s="7"/>
      <c r="B31" s="10" t="s">
        <v>53</v>
      </c>
      <c r="C31" s="11"/>
      <c r="D31" s="10" t="s">
        <v>50</v>
      </c>
      <c r="E31" s="14" t="s">
        <v>26</v>
      </c>
    </row>
    <row r="32">
      <c r="A32" s="7"/>
      <c r="B32" s="10" t="s">
        <v>52</v>
      </c>
      <c r="C32" s="11"/>
      <c r="D32" s="10" t="s">
        <v>48</v>
      </c>
      <c r="E32" s="14" t="s">
        <v>28</v>
      </c>
    </row>
    <row r="33">
      <c r="A33" s="7"/>
      <c r="B33" s="10" t="s">
        <v>53</v>
      </c>
      <c r="C33" s="11"/>
      <c r="D33" s="10" t="s">
        <v>51</v>
      </c>
      <c r="E33" s="14" t="s">
        <v>26</v>
      </c>
    </row>
    <row r="34">
      <c r="A34" s="7"/>
      <c r="B34" s="10" t="s">
        <v>52</v>
      </c>
      <c r="C34" s="11"/>
      <c r="D34" s="10" t="s">
        <v>50</v>
      </c>
      <c r="E34" s="14" t="s">
        <v>28</v>
      </c>
    </row>
    <row r="35">
      <c r="A35" s="7"/>
      <c r="B35" s="10" t="s">
        <v>50</v>
      </c>
      <c r="C35" s="11"/>
      <c r="D35" s="10" t="s">
        <v>48</v>
      </c>
      <c r="E35" s="14" t="s">
        <v>26</v>
      </c>
    </row>
    <row r="36">
      <c r="A36" s="7"/>
      <c r="B36" s="10" t="s">
        <v>52</v>
      </c>
      <c r="C36" s="11"/>
      <c r="D36" s="10" t="s">
        <v>51</v>
      </c>
      <c r="E36" s="14" t="s">
        <v>28</v>
      </c>
    </row>
    <row r="37">
      <c r="A37" s="7"/>
      <c r="B37" s="10" t="s">
        <v>48</v>
      </c>
      <c r="C37" s="11"/>
      <c r="D37" s="10" t="s">
        <v>53</v>
      </c>
      <c r="E37" s="14" t="s">
        <v>26</v>
      </c>
    </row>
    <row r="38">
      <c r="A38" s="7"/>
      <c r="B38" s="10" t="s">
        <v>50</v>
      </c>
      <c r="C38" s="11"/>
      <c r="D38" s="10" t="s">
        <v>51</v>
      </c>
      <c r="E38" s="14" t="s">
        <v>28</v>
      </c>
    </row>
    <row r="39">
      <c r="A39" s="7"/>
      <c r="B39" s="10" t="s">
        <v>52</v>
      </c>
      <c r="C39" s="8"/>
      <c r="D39" s="10" t="s">
        <v>53</v>
      </c>
      <c r="E39" s="14" t="s">
        <v>26</v>
      </c>
    </row>
    <row r="40">
      <c r="A40" s="7"/>
      <c r="B40" s="10" t="s">
        <v>48</v>
      </c>
      <c r="C40" s="11"/>
      <c r="D40" s="10" t="s">
        <v>51</v>
      </c>
      <c r="E40" s="14" t="s">
        <v>28</v>
      </c>
    </row>
    <row r="41">
      <c r="A41" s="7"/>
      <c r="B41" s="10" t="s">
        <v>50</v>
      </c>
      <c r="C41" s="11"/>
      <c r="D41" s="10" t="s">
        <v>53</v>
      </c>
      <c r="E41" s="14" t="s">
        <v>26</v>
      </c>
    </row>
    <row r="42">
      <c r="A42" s="7"/>
      <c r="B42" s="10" t="s">
        <v>48</v>
      </c>
      <c r="C42" s="11"/>
      <c r="D42" s="10" t="s">
        <v>52</v>
      </c>
      <c r="E42" s="14" t="s">
        <v>28</v>
      </c>
    </row>
    <row r="43">
      <c r="A43" s="7"/>
      <c r="B43" s="10" t="s">
        <v>51</v>
      </c>
      <c r="C43" s="11"/>
      <c r="D43" s="10" t="s">
        <v>53</v>
      </c>
      <c r="E43" s="14" t="s">
        <v>26</v>
      </c>
    </row>
    <row r="44">
      <c r="A44" s="7"/>
      <c r="B44" s="10" t="s">
        <v>50</v>
      </c>
      <c r="C44" s="11"/>
      <c r="D44" s="10" t="s">
        <v>52</v>
      </c>
      <c r="E44" s="14" t="s">
        <v>28</v>
      </c>
    </row>
    <row r="45">
      <c r="A45" s="7"/>
      <c r="B45" s="2" t="s">
        <v>60</v>
      </c>
      <c r="C45" s="3"/>
      <c r="D45" s="4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62</v>
      </c>
      <c r="C47" s="11"/>
      <c r="D47" s="10" t="s">
        <v>63</v>
      </c>
      <c r="E47" s="13" t="str">
        <f>HYPERLINK("https://youtu.be/xH_ZxmCK2DY","channel 3")</f>
        <v>channel 3</v>
      </c>
    </row>
    <row r="48">
      <c r="A48" s="7"/>
      <c r="B48" s="10" t="s">
        <v>65</v>
      </c>
      <c r="C48" s="11"/>
      <c r="D48" s="10" t="s">
        <v>66</v>
      </c>
      <c r="E48" s="13" t="str">
        <f>HYPERLINK("https://youtu.be/ebRWNfK-DDA","channel 4")</f>
        <v>channel 4</v>
      </c>
    </row>
    <row r="49">
      <c r="A49" s="7"/>
      <c r="B49" s="10" t="s">
        <v>68</v>
      </c>
      <c r="C49" s="11"/>
      <c r="D49" s="10" t="s">
        <v>62</v>
      </c>
      <c r="E49" s="14" t="s">
        <v>71</v>
      </c>
    </row>
    <row r="50">
      <c r="A50" s="7"/>
      <c r="B50" s="10" t="s">
        <v>65</v>
      </c>
      <c r="C50" s="11"/>
      <c r="D50" s="10" t="s">
        <v>63</v>
      </c>
      <c r="E50" s="23" t="s">
        <v>72</v>
      </c>
    </row>
    <row r="51">
      <c r="A51" s="7"/>
      <c r="B51" s="10" t="s">
        <v>68</v>
      </c>
      <c r="C51" s="11"/>
      <c r="D51" s="10" t="s">
        <v>66</v>
      </c>
      <c r="E51" s="14" t="s">
        <v>71</v>
      </c>
    </row>
    <row r="52">
      <c r="A52" s="7"/>
      <c r="B52" s="10" t="s">
        <v>65</v>
      </c>
      <c r="C52" s="11"/>
      <c r="D52" s="10" t="s">
        <v>62</v>
      </c>
      <c r="E52" s="23" t="s">
        <v>72</v>
      </c>
    </row>
    <row r="53">
      <c r="A53" s="7"/>
      <c r="B53" s="10" t="s">
        <v>68</v>
      </c>
      <c r="C53" s="11"/>
      <c r="D53" s="10" t="s">
        <v>63</v>
      </c>
      <c r="E53" s="14" t="s">
        <v>71</v>
      </c>
    </row>
    <row r="54">
      <c r="A54" s="7"/>
      <c r="B54" s="10" t="s">
        <v>66</v>
      </c>
      <c r="C54" s="11"/>
      <c r="D54" s="10" t="s">
        <v>62</v>
      </c>
      <c r="E54" s="23" t="s">
        <v>72</v>
      </c>
    </row>
    <row r="55">
      <c r="A55" s="7"/>
      <c r="B55" s="10" t="s">
        <v>68</v>
      </c>
      <c r="C55" s="11"/>
      <c r="D55" s="10" t="s">
        <v>65</v>
      </c>
      <c r="E55" s="14" t="s">
        <v>71</v>
      </c>
    </row>
    <row r="56">
      <c r="A56" s="7"/>
      <c r="B56" s="10" t="s">
        <v>66</v>
      </c>
      <c r="C56" s="11"/>
      <c r="D56" s="10" t="s">
        <v>63</v>
      </c>
      <c r="E56" s="23" t="s">
        <v>72</v>
      </c>
    </row>
    <row r="57">
      <c r="A57" s="7"/>
      <c r="B57" s="10" t="s">
        <v>63</v>
      </c>
      <c r="C57" s="11"/>
      <c r="D57" s="10" t="s">
        <v>62</v>
      </c>
      <c r="E57" s="14" t="s">
        <v>71</v>
      </c>
    </row>
    <row r="58">
      <c r="A58" s="7"/>
      <c r="B58" s="10" t="s">
        <v>66</v>
      </c>
      <c r="C58" s="11"/>
      <c r="D58" s="10" t="s">
        <v>65</v>
      </c>
      <c r="E58" s="23" t="s">
        <v>72</v>
      </c>
    </row>
    <row r="59">
      <c r="A59" s="7"/>
      <c r="B59" s="10" t="s">
        <v>62</v>
      </c>
      <c r="C59" s="11"/>
      <c r="D59" s="10" t="s">
        <v>68</v>
      </c>
      <c r="E59" s="14" t="s">
        <v>71</v>
      </c>
    </row>
    <row r="60">
      <c r="A60" s="7"/>
      <c r="B60" s="10" t="s">
        <v>63</v>
      </c>
      <c r="C60" s="11"/>
      <c r="D60" s="10" t="s">
        <v>65</v>
      </c>
      <c r="E60" s="23" t="s">
        <v>72</v>
      </c>
    </row>
    <row r="61">
      <c r="A61" s="7"/>
      <c r="B61" s="10" t="s">
        <v>66</v>
      </c>
      <c r="C61" s="11"/>
      <c r="D61" s="10" t="s">
        <v>68</v>
      </c>
      <c r="E61" s="14" t="s">
        <v>71</v>
      </c>
    </row>
    <row r="62">
      <c r="A62" s="7"/>
      <c r="B62" s="10" t="s">
        <v>62</v>
      </c>
      <c r="C62" s="11"/>
      <c r="D62" s="10" t="s">
        <v>65</v>
      </c>
      <c r="E62" s="23" t="s">
        <v>72</v>
      </c>
    </row>
    <row r="63">
      <c r="A63" s="7"/>
      <c r="B63" s="10" t="s">
        <v>63</v>
      </c>
      <c r="C63" s="11"/>
      <c r="D63" s="10" t="s">
        <v>68</v>
      </c>
      <c r="E63" s="14" t="s">
        <v>71</v>
      </c>
    </row>
    <row r="64">
      <c r="A64" s="7"/>
      <c r="B64" s="10" t="s">
        <v>62</v>
      </c>
      <c r="C64" s="11"/>
      <c r="D64" s="10" t="s">
        <v>66</v>
      </c>
      <c r="E64" s="23" t="s">
        <v>72</v>
      </c>
    </row>
    <row r="65">
      <c r="A65" s="7"/>
      <c r="B65" s="10" t="s">
        <v>65</v>
      </c>
      <c r="C65" s="11"/>
      <c r="D65" s="10" t="s">
        <v>68</v>
      </c>
      <c r="E65" s="14" t="s">
        <v>71</v>
      </c>
    </row>
    <row r="66">
      <c r="A66" s="7"/>
      <c r="B66" s="10" t="s">
        <v>63</v>
      </c>
      <c r="C66" s="11"/>
      <c r="D66" s="10" t="s">
        <v>66</v>
      </c>
      <c r="E66" s="23" t="s">
        <v>72</v>
      </c>
    </row>
    <row r="67">
      <c r="A67" s="7"/>
      <c r="B67" s="2" t="s">
        <v>91</v>
      </c>
      <c r="C67" s="3"/>
      <c r="D67" s="4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92</v>
      </c>
      <c r="C69" s="24"/>
      <c r="D69" s="10" t="s">
        <v>95</v>
      </c>
      <c r="E69" s="14" t="s">
        <v>71</v>
      </c>
    </row>
    <row r="70">
      <c r="A70" s="7"/>
      <c r="B70" s="10" t="s">
        <v>96</v>
      </c>
      <c r="C70" s="24"/>
      <c r="D70" s="10" t="s">
        <v>98</v>
      </c>
      <c r="E70" s="23" t="s">
        <v>72</v>
      </c>
    </row>
    <row r="71">
      <c r="A71" s="7"/>
      <c r="B71" s="10" t="s">
        <v>100</v>
      </c>
      <c r="C71" s="24"/>
      <c r="D71" s="10" t="s">
        <v>92</v>
      </c>
      <c r="E71" s="14" t="s">
        <v>71</v>
      </c>
    </row>
    <row r="72">
      <c r="A72" s="7"/>
      <c r="B72" s="10" t="s">
        <v>96</v>
      </c>
      <c r="C72" s="24"/>
      <c r="D72" s="10" t="s">
        <v>95</v>
      </c>
      <c r="E72" s="23" t="s">
        <v>72</v>
      </c>
    </row>
    <row r="73">
      <c r="A73" s="7"/>
      <c r="B73" s="10" t="s">
        <v>100</v>
      </c>
      <c r="C73" s="24"/>
      <c r="D73" s="10" t="s">
        <v>98</v>
      </c>
      <c r="E73" s="14" t="s">
        <v>71</v>
      </c>
    </row>
    <row r="74">
      <c r="A74" s="7"/>
      <c r="B74" s="10" t="s">
        <v>96</v>
      </c>
      <c r="C74" s="24"/>
      <c r="D74" s="10" t="s">
        <v>92</v>
      </c>
      <c r="E74" s="23" t="s">
        <v>72</v>
      </c>
    </row>
    <row r="75">
      <c r="A75" s="7"/>
      <c r="B75" s="10" t="s">
        <v>100</v>
      </c>
      <c r="C75" s="24"/>
      <c r="D75" s="10" t="s">
        <v>95</v>
      </c>
      <c r="E75" s="14" t="s">
        <v>71</v>
      </c>
    </row>
    <row r="76">
      <c r="A76" s="7"/>
      <c r="B76" s="10" t="s">
        <v>98</v>
      </c>
      <c r="C76" s="24"/>
      <c r="D76" s="10" t="s">
        <v>92</v>
      </c>
      <c r="E76" s="23" t="s">
        <v>72</v>
      </c>
    </row>
    <row r="77">
      <c r="A77" s="7"/>
      <c r="B77" s="10" t="s">
        <v>100</v>
      </c>
      <c r="C77" s="24"/>
      <c r="D77" s="10" t="s">
        <v>96</v>
      </c>
      <c r="E77" s="14" t="s">
        <v>71</v>
      </c>
    </row>
    <row r="78">
      <c r="A78" s="7"/>
      <c r="B78" s="10" t="s">
        <v>98</v>
      </c>
      <c r="C78" s="24"/>
      <c r="D78" s="10" t="s">
        <v>95</v>
      </c>
      <c r="E78" s="23" t="s">
        <v>72</v>
      </c>
    </row>
    <row r="79">
      <c r="A79" s="7"/>
      <c r="B79" s="10" t="s">
        <v>95</v>
      </c>
      <c r="C79" s="24"/>
      <c r="D79" s="10" t="s">
        <v>92</v>
      </c>
      <c r="E79" s="14" t="s">
        <v>71</v>
      </c>
    </row>
    <row r="80">
      <c r="A80" s="7"/>
      <c r="B80" s="10" t="s">
        <v>98</v>
      </c>
      <c r="C80" s="24"/>
      <c r="D80" s="10" t="s">
        <v>96</v>
      </c>
      <c r="E80" s="23" t="s">
        <v>72</v>
      </c>
    </row>
    <row r="81">
      <c r="A81" s="7"/>
      <c r="B81" s="10" t="s">
        <v>92</v>
      </c>
      <c r="C81" s="24"/>
      <c r="D81" s="10" t="s">
        <v>100</v>
      </c>
      <c r="E81" s="14" t="s">
        <v>71</v>
      </c>
    </row>
    <row r="82">
      <c r="A82" s="7"/>
      <c r="B82" s="10" t="s">
        <v>95</v>
      </c>
      <c r="C82" s="24"/>
      <c r="D82" s="10" t="s">
        <v>96</v>
      </c>
      <c r="E82" s="23" t="s">
        <v>72</v>
      </c>
    </row>
    <row r="83">
      <c r="A83" s="7"/>
      <c r="B83" s="10" t="s">
        <v>98</v>
      </c>
      <c r="C83" s="24"/>
      <c r="D83" s="10" t="s">
        <v>100</v>
      </c>
      <c r="E83" s="14" t="s">
        <v>71</v>
      </c>
    </row>
    <row r="84">
      <c r="A84" s="7"/>
      <c r="B84" s="10" t="s">
        <v>92</v>
      </c>
      <c r="C84" s="24"/>
      <c r="D84" s="10" t="s">
        <v>96</v>
      </c>
      <c r="E84" s="23" t="s">
        <v>72</v>
      </c>
    </row>
    <row r="85">
      <c r="A85" s="7"/>
      <c r="B85" s="10" t="s">
        <v>95</v>
      </c>
      <c r="C85" s="24"/>
      <c r="D85" s="10" t="s">
        <v>100</v>
      </c>
      <c r="E85" s="14" t="s">
        <v>71</v>
      </c>
    </row>
    <row r="86">
      <c r="A86" s="7"/>
      <c r="B86" s="10" t="s">
        <v>92</v>
      </c>
      <c r="C86" s="24"/>
      <c r="D86" s="10" t="s">
        <v>98</v>
      </c>
      <c r="E86" s="23" t="s">
        <v>72</v>
      </c>
    </row>
    <row r="87">
      <c r="A87" s="7"/>
      <c r="B87" s="10" t="s">
        <v>96</v>
      </c>
      <c r="C87" s="24"/>
      <c r="D87" s="10" t="s">
        <v>100</v>
      </c>
      <c r="E87" s="14" t="s">
        <v>71</v>
      </c>
    </row>
    <row r="88">
      <c r="A88" s="7"/>
      <c r="B88" s="10" t="s">
        <v>95</v>
      </c>
      <c r="C88" s="24"/>
      <c r="D88" s="10" t="s">
        <v>98</v>
      </c>
      <c r="E88" s="23" t="s">
        <v>72</v>
      </c>
    </row>
    <row r="89">
      <c r="A89" s="7"/>
      <c r="B89" s="2" t="s">
        <v>112</v>
      </c>
      <c r="C89" s="3"/>
      <c r="D89" s="4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114</v>
      </c>
      <c r="C91" s="24"/>
      <c r="D91" s="10" t="s">
        <v>115</v>
      </c>
      <c r="E91" s="14" t="s">
        <v>26</v>
      </c>
    </row>
    <row r="92">
      <c r="A92" s="7"/>
      <c r="B92" s="10" t="s">
        <v>118</v>
      </c>
      <c r="C92" s="24"/>
      <c r="D92" s="10" t="s">
        <v>119</v>
      </c>
      <c r="E92" s="14" t="s">
        <v>28</v>
      </c>
    </row>
    <row r="93">
      <c r="A93" s="7"/>
      <c r="B93" s="10" t="s">
        <v>120</v>
      </c>
      <c r="C93" s="24"/>
      <c r="D93" s="10" t="s">
        <v>114</v>
      </c>
      <c r="E93" s="14" t="s">
        <v>26</v>
      </c>
    </row>
    <row r="94">
      <c r="A94" s="7"/>
      <c r="B94" s="10" t="s">
        <v>118</v>
      </c>
      <c r="C94" s="24"/>
      <c r="D94" s="10" t="s">
        <v>115</v>
      </c>
      <c r="E94" s="14" t="s">
        <v>28</v>
      </c>
    </row>
    <row r="95">
      <c r="A95" s="7"/>
      <c r="B95" s="10" t="s">
        <v>120</v>
      </c>
      <c r="C95" s="19"/>
      <c r="D95" s="10" t="s">
        <v>119</v>
      </c>
      <c r="E95" s="14" t="s">
        <v>26</v>
      </c>
    </row>
    <row r="96">
      <c r="A96" s="7"/>
      <c r="B96" s="10" t="s">
        <v>118</v>
      </c>
      <c r="C96" s="24"/>
      <c r="D96" s="10" t="s">
        <v>114</v>
      </c>
      <c r="E96" s="14" t="s">
        <v>28</v>
      </c>
    </row>
    <row r="97">
      <c r="A97" s="7"/>
      <c r="B97" s="10" t="s">
        <v>120</v>
      </c>
      <c r="C97" s="24"/>
      <c r="D97" s="10" t="s">
        <v>115</v>
      </c>
      <c r="E97" s="14" t="s">
        <v>26</v>
      </c>
    </row>
    <row r="98">
      <c r="A98" s="7"/>
      <c r="B98" s="10" t="s">
        <v>119</v>
      </c>
      <c r="C98" s="24"/>
      <c r="D98" s="10" t="s">
        <v>114</v>
      </c>
      <c r="E98" s="14" t="s">
        <v>28</v>
      </c>
    </row>
    <row r="99">
      <c r="A99" s="7"/>
      <c r="B99" s="10" t="s">
        <v>120</v>
      </c>
      <c r="C99" s="24"/>
      <c r="D99" s="10" t="s">
        <v>118</v>
      </c>
      <c r="E99" s="14" t="s">
        <v>26</v>
      </c>
    </row>
    <row r="100">
      <c r="A100" s="7"/>
      <c r="B100" s="10" t="s">
        <v>119</v>
      </c>
      <c r="C100" s="24"/>
      <c r="D100" s="10" t="s">
        <v>115</v>
      </c>
      <c r="E100" s="14" t="s">
        <v>28</v>
      </c>
    </row>
    <row r="101">
      <c r="A101" s="7"/>
      <c r="B101" s="10" t="s">
        <v>115</v>
      </c>
      <c r="C101" s="24"/>
      <c r="D101" s="10" t="s">
        <v>114</v>
      </c>
      <c r="E101" s="14" t="s">
        <v>26</v>
      </c>
    </row>
    <row r="102">
      <c r="A102" s="7"/>
      <c r="B102" s="10" t="s">
        <v>119</v>
      </c>
      <c r="C102" s="24"/>
      <c r="D102" s="10" t="s">
        <v>118</v>
      </c>
      <c r="E102" s="14" t="s">
        <v>28</v>
      </c>
    </row>
    <row r="103">
      <c r="A103" s="7"/>
      <c r="B103" s="10" t="s">
        <v>114</v>
      </c>
      <c r="C103" s="24"/>
      <c r="D103" s="10" t="s">
        <v>120</v>
      </c>
      <c r="E103" s="14" t="s">
        <v>26</v>
      </c>
    </row>
    <row r="104">
      <c r="A104" s="7"/>
      <c r="B104" s="10" t="s">
        <v>115</v>
      </c>
      <c r="C104" s="24"/>
      <c r="D104" s="10" t="s">
        <v>118</v>
      </c>
      <c r="E104" s="14" t="s">
        <v>28</v>
      </c>
    </row>
    <row r="105">
      <c r="A105" s="7"/>
      <c r="B105" s="10" t="s">
        <v>119</v>
      </c>
      <c r="C105" s="24"/>
      <c r="D105" s="10" t="s">
        <v>120</v>
      </c>
      <c r="E105" s="14" t="s">
        <v>26</v>
      </c>
    </row>
    <row r="106">
      <c r="A106" s="7"/>
      <c r="B106" s="10" t="s">
        <v>114</v>
      </c>
      <c r="C106" s="24"/>
      <c r="D106" s="10" t="s">
        <v>118</v>
      </c>
      <c r="E106" s="14" t="s">
        <v>28</v>
      </c>
    </row>
    <row r="107">
      <c r="A107" s="7"/>
      <c r="B107" s="10" t="s">
        <v>115</v>
      </c>
      <c r="C107" s="24"/>
      <c r="D107" s="10" t="s">
        <v>120</v>
      </c>
      <c r="E107" s="14" t="s">
        <v>26</v>
      </c>
    </row>
    <row r="108">
      <c r="A108" s="7"/>
      <c r="B108" s="10" t="s">
        <v>114</v>
      </c>
      <c r="C108" s="24"/>
      <c r="D108" s="10" t="s">
        <v>119</v>
      </c>
      <c r="E108" s="14" t="s">
        <v>28</v>
      </c>
    </row>
    <row r="109">
      <c r="A109" s="7"/>
      <c r="B109" s="10" t="s">
        <v>118</v>
      </c>
      <c r="C109" s="24"/>
      <c r="D109" s="10" t="s">
        <v>120</v>
      </c>
      <c r="E109" s="14" t="s">
        <v>26</v>
      </c>
    </row>
    <row r="110">
      <c r="A110" s="7"/>
      <c r="B110" s="10" t="s">
        <v>115</v>
      </c>
      <c r="C110" s="24"/>
      <c r="D110" s="10" t="s">
        <v>119</v>
      </c>
      <c r="E110" s="14" t="s">
        <v>28</v>
      </c>
    </row>
    <row r="111">
      <c r="A111" s="7"/>
      <c r="B111" s="2" t="s">
        <v>134</v>
      </c>
      <c r="C111" s="3"/>
      <c r="D111" s="4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136</v>
      </c>
      <c r="C113" s="24"/>
      <c r="D113" s="10" t="s">
        <v>137</v>
      </c>
      <c r="E113" s="14" t="s">
        <v>26</v>
      </c>
    </row>
    <row r="114">
      <c r="A114" s="7"/>
      <c r="B114" s="10" t="s">
        <v>139</v>
      </c>
      <c r="C114" s="24"/>
      <c r="D114" s="10" t="s">
        <v>140</v>
      </c>
      <c r="E114" s="14" t="s">
        <v>28</v>
      </c>
    </row>
    <row r="115">
      <c r="A115" s="7"/>
      <c r="B115" s="10" t="s">
        <v>53</v>
      </c>
      <c r="C115" s="24"/>
      <c r="D115" s="10" t="s">
        <v>136</v>
      </c>
      <c r="E115" s="14" t="s">
        <v>26</v>
      </c>
    </row>
    <row r="116">
      <c r="A116" s="7"/>
      <c r="B116" s="10" t="s">
        <v>139</v>
      </c>
      <c r="C116" s="24"/>
      <c r="D116" s="10" t="s">
        <v>137</v>
      </c>
      <c r="E116" s="14" t="s">
        <v>28</v>
      </c>
    </row>
    <row r="117">
      <c r="A117" s="7"/>
      <c r="B117" s="10" t="s">
        <v>53</v>
      </c>
      <c r="C117" s="24"/>
      <c r="D117" s="10" t="s">
        <v>140</v>
      </c>
      <c r="E117" s="14" t="s">
        <v>26</v>
      </c>
    </row>
    <row r="118">
      <c r="A118" s="7"/>
      <c r="B118" s="10" t="s">
        <v>139</v>
      </c>
      <c r="C118" s="24"/>
      <c r="D118" s="10" t="s">
        <v>136</v>
      </c>
      <c r="E118" s="14" t="s">
        <v>28</v>
      </c>
    </row>
    <row r="119">
      <c r="A119" s="7"/>
      <c r="B119" s="10" t="s">
        <v>53</v>
      </c>
      <c r="C119" s="24"/>
      <c r="D119" s="10" t="s">
        <v>137</v>
      </c>
      <c r="E119" s="14" t="s">
        <v>26</v>
      </c>
    </row>
    <row r="120">
      <c r="A120" s="7"/>
      <c r="B120" s="10" t="s">
        <v>140</v>
      </c>
      <c r="C120" s="24"/>
      <c r="D120" s="10" t="s">
        <v>136</v>
      </c>
      <c r="E120" s="14" t="s">
        <v>28</v>
      </c>
    </row>
    <row r="121">
      <c r="A121" s="7"/>
      <c r="B121" s="10" t="s">
        <v>53</v>
      </c>
      <c r="C121" s="24"/>
      <c r="D121" s="10" t="s">
        <v>139</v>
      </c>
      <c r="E121" s="14" t="s">
        <v>26</v>
      </c>
    </row>
    <row r="122">
      <c r="A122" s="7"/>
      <c r="B122" s="10" t="s">
        <v>140</v>
      </c>
      <c r="C122" s="24"/>
      <c r="D122" s="10" t="s">
        <v>137</v>
      </c>
      <c r="E122" s="14" t="s">
        <v>28</v>
      </c>
    </row>
    <row r="123">
      <c r="A123" s="7"/>
      <c r="B123" s="10" t="s">
        <v>137</v>
      </c>
      <c r="C123" s="24"/>
      <c r="D123" s="10" t="s">
        <v>136</v>
      </c>
      <c r="E123" s="14" t="s">
        <v>26</v>
      </c>
    </row>
    <row r="124">
      <c r="A124" s="7"/>
      <c r="B124" s="10" t="s">
        <v>140</v>
      </c>
      <c r="C124" s="24"/>
      <c r="D124" s="10" t="s">
        <v>139</v>
      </c>
      <c r="E124" s="14" t="s">
        <v>28</v>
      </c>
    </row>
    <row r="125">
      <c r="A125" s="7"/>
      <c r="B125" s="10" t="s">
        <v>136</v>
      </c>
      <c r="C125" s="24"/>
      <c r="D125" s="10" t="s">
        <v>53</v>
      </c>
      <c r="E125" s="14" t="s">
        <v>26</v>
      </c>
    </row>
    <row r="126">
      <c r="A126" s="7"/>
      <c r="B126" s="10" t="s">
        <v>137</v>
      </c>
      <c r="C126" s="24"/>
      <c r="D126" s="10" t="s">
        <v>139</v>
      </c>
      <c r="E126" s="14" t="s">
        <v>28</v>
      </c>
    </row>
    <row r="127">
      <c r="A127" s="7"/>
      <c r="B127" s="10" t="s">
        <v>140</v>
      </c>
      <c r="C127" s="24"/>
      <c r="D127" s="10" t="s">
        <v>53</v>
      </c>
      <c r="E127" s="14" t="s">
        <v>26</v>
      </c>
    </row>
    <row r="128">
      <c r="A128" s="7"/>
      <c r="B128" s="10" t="s">
        <v>136</v>
      </c>
      <c r="C128" s="24"/>
      <c r="D128" s="10" t="s">
        <v>139</v>
      </c>
      <c r="E128" s="14" t="s">
        <v>28</v>
      </c>
    </row>
    <row r="129">
      <c r="A129" s="7"/>
      <c r="B129" s="10" t="s">
        <v>137</v>
      </c>
      <c r="C129" s="24"/>
      <c r="D129" s="10" t="s">
        <v>53</v>
      </c>
      <c r="E129" s="14" t="s">
        <v>26</v>
      </c>
    </row>
    <row r="130">
      <c r="A130" s="7"/>
      <c r="B130" s="10" t="s">
        <v>136</v>
      </c>
      <c r="C130" s="24"/>
      <c r="D130" s="10" t="s">
        <v>140</v>
      </c>
      <c r="E130" s="14" t="s">
        <v>28</v>
      </c>
    </row>
    <row r="131">
      <c r="A131" s="7"/>
      <c r="B131" s="10" t="s">
        <v>139</v>
      </c>
      <c r="C131" s="24"/>
      <c r="D131" s="10" t="s">
        <v>53</v>
      </c>
      <c r="E131" s="14" t="s">
        <v>26</v>
      </c>
    </row>
    <row r="132">
      <c r="A132" s="25"/>
      <c r="B132" s="10" t="s">
        <v>137</v>
      </c>
      <c r="C132" s="24"/>
      <c r="D132" s="10" t="s">
        <v>140</v>
      </c>
      <c r="E132" s="14" t="s">
        <v>28</v>
      </c>
    </row>
    <row r="133">
      <c r="B133" s="2" t="s">
        <v>147</v>
      </c>
      <c r="C133" s="3"/>
      <c r="D133" s="4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149</v>
      </c>
      <c r="C135" s="26"/>
      <c r="D135" s="27" t="s">
        <v>150</v>
      </c>
      <c r="E135" s="14" t="s">
        <v>71</v>
      </c>
    </row>
    <row r="136">
      <c r="B136" s="27" t="s">
        <v>151</v>
      </c>
      <c r="C136" s="26"/>
      <c r="D136" s="27" t="s">
        <v>153</v>
      </c>
      <c r="E136" s="23" t="s">
        <v>72</v>
      </c>
    </row>
    <row r="137">
      <c r="B137" s="27" t="s">
        <v>154</v>
      </c>
      <c r="C137" s="26"/>
      <c r="D137" s="27" t="s">
        <v>149</v>
      </c>
      <c r="E137" s="14" t="s">
        <v>71</v>
      </c>
    </row>
    <row r="138">
      <c r="B138" s="27" t="s">
        <v>151</v>
      </c>
      <c r="C138" s="26"/>
      <c r="D138" s="27" t="s">
        <v>150</v>
      </c>
      <c r="E138" s="23" t="s">
        <v>72</v>
      </c>
    </row>
    <row r="139">
      <c r="B139" s="27" t="s">
        <v>154</v>
      </c>
      <c r="C139" s="26"/>
      <c r="D139" s="27" t="s">
        <v>153</v>
      </c>
      <c r="E139" s="14" t="s">
        <v>71</v>
      </c>
    </row>
    <row r="140">
      <c r="B140" s="27" t="s">
        <v>151</v>
      </c>
      <c r="C140" s="26"/>
      <c r="D140" s="27" t="s">
        <v>149</v>
      </c>
      <c r="E140" s="23" t="s">
        <v>72</v>
      </c>
    </row>
    <row r="141">
      <c r="B141" s="27" t="s">
        <v>154</v>
      </c>
      <c r="C141" s="26"/>
      <c r="D141" s="27" t="s">
        <v>150</v>
      </c>
      <c r="E141" s="14" t="s">
        <v>71</v>
      </c>
    </row>
    <row r="142">
      <c r="B142" s="27" t="s">
        <v>153</v>
      </c>
      <c r="C142" s="26"/>
      <c r="D142" s="27" t="s">
        <v>149</v>
      </c>
      <c r="E142" s="23" t="s">
        <v>72</v>
      </c>
    </row>
    <row r="143">
      <c r="B143" s="27" t="s">
        <v>154</v>
      </c>
      <c r="C143" s="26"/>
      <c r="D143" s="27" t="s">
        <v>151</v>
      </c>
      <c r="E143" s="14" t="s">
        <v>71</v>
      </c>
    </row>
    <row r="144">
      <c r="B144" s="27" t="s">
        <v>153</v>
      </c>
      <c r="C144" s="26"/>
      <c r="D144" s="27" t="s">
        <v>150</v>
      </c>
      <c r="E144" s="23" t="s">
        <v>72</v>
      </c>
    </row>
    <row r="145">
      <c r="B145" s="27" t="s">
        <v>150</v>
      </c>
      <c r="C145" s="26"/>
      <c r="D145" s="27" t="s">
        <v>149</v>
      </c>
      <c r="E145" s="14" t="s">
        <v>71</v>
      </c>
    </row>
    <row r="146">
      <c r="B146" s="27" t="s">
        <v>153</v>
      </c>
      <c r="C146" s="26"/>
      <c r="D146" s="27" t="s">
        <v>151</v>
      </c>
      <c r="E146" s="23" t="s">
        <v>72</v>
      </c>
    </row>
    <row r="147">
      <c r="B147" s="27" t="s">
        <v>149</v>
      </c>
      <c r="C147" s="26"/>
      <c r="D147" s="27" t="s">
        <v>154</v>
      </c>
      <c r="E147" s="14" t="s">
        <v>71</v>
      </c>
    </row>
    <row r="148">
      <c r="B148" s="27" t="s">
        <v>150</v>
      </c>
      <c r="C148" s="26"/>
      <c r="D148" s="27" t="s">
        <v>151</v>
      </c>
      <c r="E148" s="23" t="s">
        <v>72</v>
      </c>
    </row>
    <row r="149">
      <c r="B149" s="27" t="s">
        <v>153</v>
      </c>
      <c r="C149" s="26"/>
      <c r="D149" s="27" t="s">
        <v>154</v>
      </c>
      <c r="E149" s="14" t="s">
        <v>71</v>
      </c>
    </row>
    <row r="150">
      <c r="B150" s="27" t="s">
        <v>149</v>
      </c>
      <c r="C150" s="26"/>
      <c r="D150" s="27" t="s">
        <v>151</v>
      </c>
      <c r="E150" s="23" t="s">
        <v>72</v>
      </c>
    </row>
    <row r="151">
      <c r="B151" s="27" t="s">
        <v>150</v>
      </c>
      <c r="C151" s="26"/>
      <c r="D151" s="27" t="s">
        <v>154</v>
      </c>
      <c r="E151" s="14" t="s">
        <v>71</v>
      </c>
    </row>
    <row r="152">
      <c r="B152" s="27" t="s">
        <v>149</v>
      </c>
      <c r="C152" s="26"/>
      <c r="D152" s="27" t="s">
        <v>153</v>
      </c>
      <c r="E152" s="23" t="s">
        <v>72</v>
      </c>
    </row>
    <row r="153">
      <c r="B153" s="27" t="s">
        <v>151</v>
      </c>
      <c r="C153" s="26"/>
      <c r="D153" s="27" t="s">
        <v>154</v>
      </c>
      <c r="E153" s="14" t="s">
        <v>71</v>
      </c>
    </row>
    <row r="154">
      <c r="B154" s="27" t="s">
        <v>150</v>
      </c>
      <c r="C154" s="26"/>
      <c r="D154" s="27" t="s">
        <v>153</v>
      </c>
      <c r="E154" s="23" t="s">
        <v>72</v>
      </c>
    </row>
    <row r="155">
      <c r="B155" s="2" t="s">
        <v>165</v>
      </c>
      <c r="C155" s="3"/>
      <c r="D155" s="4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167</v>
      </c>
      <c r="C157" s="26"/>
      <c r="D157" s="27" t="s">
        <v>169</v>
      </c>
      <c r="E157" s="14" t="s">
        <v>71</v>
      </c>
    </row>
    <row r="158">
      <c r="B158" s="28" t="s">
        <v>171</v>
      </c>
      <c r="C158" s="26"/>
      <c r="D158" s="27" t="s">
        <v>172</v>
      </c>
      <c r="E158" s="23" t="s">
        <v>72</v>
      </c>
    </row>
    <row r="159">
      <c r="B159" s="27" t="s">
        <v>173</v>
      </c>
      <c r="C159" s="26"/>
      <c r="D159" s="27" t="s">
        <v>167</v>
      </c>
      <c r="E159" s="14" t="s">
        <v>71</v>
      </c>
    </row>
    <row r="160">
      <c r="B160" s="28" t="s">
        <v>171</v>
      </c>
      <c r="C160" s="26"/>
      <c r="D160" s="27" t="s">
        <v>169</v>
      </c>
      <c r="E160" s="23" t="s">
        <v>72</v>
      </c>
    </row>
    <row r="161">
      <c r="B161" s="27" t="s">
        <v>173</v>
      </c>
      <c r="C161" s="26"/>
      <c r="D161" s="27" t="s">
        <v>172</v>
      </c>
      <c r="E161" s="14" t="s">
        <v>71</v>
      </c>
    </row>
    <row r="162">
      <c r="B162" s="28" t="s">
        <v>171</v>
      </c>
      <c r="C162" s="26"/>
      <c r="D162" s="27" t="s">
        <v>167</v>
      </c>
      <c r="E162" s="23" t="s">
        <v>72</v>
      </c>
    </row>
    <row r="163">
      <c r="B163" s="27" t="s">
        <v>173</v>
      </c>
      <c r="C163" s="26"/>
      <c r="D163" s="27" t="s">
        <v>169</v>
      </c>
      <c r="E163" s="14" t="s">
        <v>71</v>
      </c>
    </row>
    <row r="164">
      <c r="B164" s="27" t="s">
        <v>172</v>
      </c>
      <c r="C164" s="26"/>
      <c r="D164" s="27" t="s">
        <v>167</v>
      </c>
      <c r="E164" s="23" t="s">
        <v>72</v>
      </c>
    </row>
    <row r="165">
      <c r="B165" s="27" t="s">
        <v>173</v>
      </c>
      <c r="C165" s="26"/>
      <c r="D165" s="28" t="s">
        <v>171</v>
      </c>
      <c r="E165" s="14" t="s">
        <v>71</v>
      </c>
    </row>
    <row r="166">
      <c r="B166" s="27" t="s">
        <v>172</v>
      </c>
      <c r="C166" s="26"/>
      <c r="D166" s="27" t="s">
        <v>169</v>
      </c>
      <c r="E166" s="23" t="s">
        <v>72</v>
      </c>
    </row>
    <row r="167">
      <c r="B167" s="27" t="s">
        <v>169</v>
      </c>
      <c r="C167" s="26"/>
      <c r="D167" s="27" t="s">
        <v>167</v>
      </c>
      <c r="E167" s="14" t="s">
        <v>71</v>
      </c>
    </row>
    <row r="168">
      <c r="B168" s="27" t="s">
        <v>172</v>
      </c>
      <c r="C168" s="26"/>
      <c r="D168" s="28" t="s">
        <v>171</v>
      </c>
      <c r="E168" s="23" t="s">
        <v>72</v>
      </c>
    </row>
    <row r="169">
      <c r="B169" s="27" t="s">
        <v>167</v>
      </c>
      <c r="C169" s="26"/>
      <c r="D169" s="27" t="s">
        <v>173</v>
      </c>
      <c r="E169" s="14" t="s">
        <v>71</v>
      </c>
    </row>
    <row r="170">
      <c r="B170" s="27" t="s">
        <v>169</v>
      </c>
      <c r="C170" s="26"/>
      <c r="D170" s="28" t="s">
        <v>171</v>
      </c>
      <c r="E170" s="23" t="s">
        <v>72</v>
      </c>
    </row>
    <row r="171">
      <c r="B171" s="27" t="s">
        <v>172</v>
      </c>
      <c r="C171" s="26"/>
      <c r="D171" s="27" t="s">
        <v>173</v>
      </c>
      <c r="E171" s="14" t="s">
        <v>71</v>
      </c>
    </row>
    <row r="172">
      <c r="B172" s="27" t="s">
        <v>167</v>
      </c>
      <c r="C172" s="26"/>
      <c r="D172" s="28" t="s">
        <v>171</v>
      </c>
      <c r="E172" s="23" t="s">
        <v>72</v>
      </c>
    </row>
    <row r="173">
      <c r="B173" s="27" t="s">
        <v>169</v>
      </c>
      <c r="C173" s="26"/>
      <c r="D173" s="27" t="s">
        <v>173</v>
      </c>
      <c r="E173" s="14" t="s">
        <v>71</v>
      </c>
    </row>
    <row r="174">
      <c r="B174" s="27" t="s">
        <v>167</v>
      </c>
      <c r="C174" s="26"/>
      <c r="D174" s="27" t="s">
        <v>172</v>
      </c>
      <c r="E174" s="23" t="s">
        <v>72</v>
      </c>
    </row>
    <row r="175">
      <c r="B175" s="28" t="s">
        <v>171</v>
      </c>
      <c r="C175" s="26"/>
      <c r="D175" s="27" t="s">
        <v>173</v>
      </c>
      <c r="E175" s="14" t="s">
        <v>71</v>
      </c>
    </row>
    <row r="176">
      <c r="B176" s="27" t="s">
        <v>169</v>
      </c>
      <c r="C176" s="26"/>
      <c r="D176" s="27" t="s">
        <v>172</v>
      </c>
      <c r="E176" s="23" t="s">
        <v>72</v>
      </c>
    </row>
    <row r="177">
      <c r="B177" s="2" t="s">
        <v>181</v>
      </c>
      <c r="C177" s="3"/>
      <c r="D177" s="4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182</v>
      </c>
      <c r="C179" s="26"/>
      <c r="D179" s="27" t="s">
        <v>183</v>
      </c>
      <c r="E179" s="14" t="s">
        <v>26</v>
      </c>
    </row>
    <row r="180">
      <c r="B180" s="27" t="s">
        <v>185</v>
      </c>
      <c r="C180" s="26"/>
      <c r="D180" s="27" t="s">
        <v>186</v>
      </c>
      <c r="E180" s="14" t="s">
        <v>28</v>
      </c>
    </row>
    <row r="181">
      <c r="B181" s="27" t="s">
        <v>187</v>
      </c>
      <c r="C181" s="26"/>
      <c r="D181" s="27" t="s">
        <v>182</v>
      </c>
      <c r="E181" s="14" t="s">
        <v>26</v>
      </c>
    </row>
    <row r="182">
      <c r="B182" s="27" t="s">
        <v>185</v>
      </c>
      <c r="C182" s="26"/>
      <c r="D182" s="27" t="s">
        <v>183</v>
      </c>
      <c r="E182" s="14" t="s">
        <v>28</v>
      </c>
    </row>
    <row r="183">
      <c r="B183" s="27" t="s">
        <v>187</v>
      </c>
      <c r="C183" s="26"/>
      <c r="D183" s="27" t="s">
        <v>186</v>
      </c>
      <c r="E183" s="14" t="s">
        <v>26</v>
      </c>
    </row>
    <row r="184">
      <c r="B184" s="27" t="s">
        <v>185</v>
      </c>
      <c r="C184" s="26"/>
      <c r="D184" s="27" t="s">
        <v>182</v>
      </c>
      <c r="E184" s="14" t="s">
        <v>28</v>
      </c>
    </row>
    <row r="185">
      <c r="B185" s="27" t="s">
        <v>187</v>
      </c>
      <c r="C185" s="26"/>
      <c r="D185" s="27" t="s">
        <v>183</v>
      </c>
      <c r="E185" s="14" t="s">
        <v>26</v>
      </c>
    </row>
    <row r="186">
      <c r="B186" s="27" t="s">
        <v>186</v>
      </c>
      <c r="C186" s="26"/>
      <c r="D186" s="27" t="s">
        <v>182</v>
      </c>
      <c r="E186" s="14" t="s">
        <v>28</v>
      </c>
    </row>
    <row r="187">
      <c r="B187" s="27" t="s">
        <v>187</v>
      </c>
      <c r="C187" s="26"/>
      <c r="D187" s="27" t="s">
        <v>185</v>
      </c>
      <c r="E187" s="14" t="s">
        <v>26</v>
      </c>
    </row>
    <row r="188">
      <c r="B188" s="27" t="s">
        <v>186</v>
      </c>
      <c r="C188" s="26"/>
      <c r="D188" s="27" t="s">
        <v>183</v>
      </c>
      <c r="E188" s="14" t="s">
        <v>28</v>
      </c>
    </row>
    <row r="189">
      <c r="B189" s="27" t="s">
        <v>183</v>
      </c>
      <c r="C189" s="26"/>
      <c r="D189" s="27" t="s">
        <v>182</v>
      </c>
      <c r="E189" s="14" t="s">
        <v>26</v>
      </c>
    </row>
    <row r="190">
      <c r="B190" s="27" t="s">
        <v>186</v>
      </c>
      <c r="C190" s="26"/>
      <c r="D190" s="27" t="s">
        <v>185</v>
      </c>
      <c r="E190" s="14" t="s">
        <v>28</v>
      </c>
    </row>
    <row r="191">
      <c r="B191" s="27" t="s">
        <v>182</v>
      </c>
      <c r="C191" s="26"/>
      <c r="D191" s="27" t="s">
        <v>187</v>
      </c>
      <c r="E191" s="14" t="s">
        <v>26</v>
      </c>
    </row>
    <row r="192">
      <c r="B192" s="27" t="s">
        <v>183</v>
      </c>
      <c r="C192" s="26"/>
      <c r="D192" s="27" t="s">
        <v>185</v>
      </c>
      <c r="E192" s="14" t="s">
        <v>28</v>
      </c>
    </row>
    <row r="193">
      <c r="B193" s="27" t="s">
        <v>186</v>
      </c>
      <c r="C193" s="26"/>
      <c r="D193" s="27" t="s">
        <v>187</v>
      </c>
      <c r="E193" s="14" t="s">
        <v>26</v>
      </c>
    </row>
    <row r="194">
      <c r="B194" s="27" t="s">
        <v>182</v>
      </c>
      <c r="C194" s="26"/>
      <c r="D194" s="27" t="s">
        <v>185</v>
      </c>
      <c r="E194" s="14" t="s">
        <v>28</v>
      </c>
    </row>
    <row r="195">
      <c r="B195" s="27" t="s">
        <v>183</v>
      </c>
      <c r="C195" s="26"/>
      <c r="D195" s="27" t="s">
        <v>187</v>
      </c>
      <c r="E195" s="14" t="s">
        <v>26</v>
      </c>
    </row>
    <row r="196">
      <c r="B196" s="27" t="s">
        <v>182</v>
      </c>
      <c r="C196" s="26"/>
      <c r="D196" s="27" t="s">
        <v>186</v>
      </c>
      <c r="E196" s="14" t="s">
        <v>28</v>
      </c>
    </row>
    <row r="197">
      <c r="B197" s="27" t="s">
        <v>185</v>
      </c>
      <c r="C197" s="26"/>
      <c r="D197" s="27" t="s">
        <v>187</v>
      </c>
      <c r="E197" s="14" t="s">
        <v>26</v>
      </c>
    </row>
    <row r="198">
      <c r="B198" s="27" t="s">
        <v>183</v>
      </c>
      <c r="C198" s="26"/>
      <c r="D198" s="27" t="s">
        <v>186</v>
      </c>
      <c r="E198" s="14" t="s">
        <v>28</v>
      </c>
    </row>
    <row r="199">
      <c r="B199" s="2" t="s">
        <v>195</v>
      </c>
      <c r="C199" s="3"/>
      <c r="D199" s="4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197</v>
      </c>
      <c r="C201" s="26"/>
      <c r="D201" s="27" t="s">
        <v>198</v>
      </c>
      <c r="E201" s="14" t="s">
        <v>26</v>
      </c>
    </row>
    <row r="202">
      <c r="B202" s="27" t="s">
        <v>199</v>
      </c>
      <c r="C202" s="26"/>
      <c r="D202" s="27" t="s">
        <v>200</v>
      </c>
      <c r="E202" s="14" t="s">
        <v>28</v>
      </c>
    </row>
    <row r="203">
      <c r="B203" s="27" t="s">
        <v>201</v>
      </c>
      <c r="C203" s="26"/>
      <c r="D203" s="27" t="s">
        <v>197</v>
      </c>
      <c r="E203" s="14" t="s">
        <v>26</v>
      </c>
    </row>
    <row r="204">
      <c r="B204" s="27" t="s">
        <v>199</v>
      </c>
      <c r="C204" s="26"/>
      <c r="D204" s="27" t="s">
        <v>198</v>
      </c>
      <c r="E204" s="14" t="s">
        <v>28</v>
      </c>
    </row>
    <row r="205">
      <c r="B205" s="27" t="s">
        <v>201</v>
      </c>
      <c r="C205" s="26"/>
      <c r="D205" s="27" t="s">
        <v>200</v>
      </c>
      <c r="E205" s="14" t="s">
        <v>26</v>
      </c>
    </row>
    <row r="206">
      <c r="B206" s="27" t="s">
        <v>199</v>
      </c>
      <c r="C206" s="26"/>
      <c r="D206" s="27" t="s">
        <v>197</v>
      </c>
      <c r="E206" s="14" t="s">
        <v>28</v>
      </c>
    </row>
    <row r="207">
      <c r="B207" s="27" t="s">
        <v>201</v>
      </c>
      <c r="C207" s="26"/>
      <c r="D207" s="27" t="s">
        <v>198</v>
      </c>
      <c r="E207" s="14" t="s">
        <v>26</v>
      </c>
    </row>
    <row r="208">
      <c r="B208" s="27" t="s">
        <v>200</v>
      </c>
      <c r="C208" s="26"/>
      <c r="D208" s="27" t="s">
        <v>197</v>
      </c>
      <c r="E208" s="14" t="s">
        <v>28</v>
      </c>
    </row>
    <row r="209">
      <c r="B209" s="27" t="s">
        <v>201</v>
      </c>
      <c r="C209" s="26"/>
      <c r="D209" s="27" t="s">
        <v>199</v>
      </c>
      <c r="E209" s="14" t="s">
        <v>26</v>
      </c>
    </row>
    <row r="210">
      <c r="B210" s="27" t="s">
        <v>200</v>
      </c>
      <c r="C210" s="26"/>
      <c r="D210" s="27" t="s">
        <v>198</v>
      </c>
      <c r="E210" s="14" t="s">
        <v>28</v>
      </c>
    </row>
    <row r="211">
      <c r="B211" s="27" t="s">
        <v>198</v>
      </c>
      <c r="C211" s="26"/>
      <c r="D211" s="27" t="s">
        <v>197</v>
      </c>
      <c r="E211" s="14" t="s">
        <v>26</v>
      </c>
    </row>
    <row r="212">
      <c r="B212" s="27" t="s">
        <v>200</v>
      </c>
      <c r="C212" s="26"/>
      <c r="D212" s="27" t="s">
        <v>199</v>
      </c>
      <c r="E212" s="14" t="s">
        <v>28</v>
      </c>
    </row>
    <row r="213">
      <c r="B213" s="27" t="s">
        <v>197</v>
      </c>
      <c r="C213" s="26"/>
      <c r="D213" s="27" t="s">
        <v>201</v>
      </c>
      <c r="E213" s="14" t="s">
        <v>26</v>
      </c>
    </row>
    <row r="214">
      <c r="B214" s="27" t="s">
        <v>198</v>
      </c>
      <c r="C214" s="26"/>
      <c r="D214" s="27" t="s">
        <v>199</v>
      </c>
      <c r="E214" s="14" t="s">
        <v>28</v>
      </c>
    </row>
    <row r="215">
      <c r="B215" s="27" t="s">
        <v>200</v>
      </c>
      <c r="C215" s="26"/>
      <c r="D215" s="27" t="s">
        <v>201</v>
      </c>
      <c r="E215" s="14" t="s">
        <v>26</v>
      </c>
    </row>
    <row r="216">
      <c r="B216" s="27" t="s">
        <v>197</v>
      </c>
      <c r="C216" s="26"/>
      <c r="D216" s="27" t="s">
        <v>199</v>
      </c>
      <c r="E216" s="14" t="s">
        <v>28</v>
      </c>
    </row>
    <row r="217">
      <c r="B217" s="27" t="s">
        <v>198</v>
      </c>
      <c r="C217" s="26"/>
      <c r="D217" s="27" t="s">
        <v>201</v>
      </c>
      <c r="E217" s="14" t="s">
        <v>26</v>
      </c>
    </row>
    <row r="218">
      <c r="B218" s="27" t="s">
        <v>197</v>
      </c>
      <c r="C218" s="26"/>
      <c r="D218" s="27" t="s">
        <v>200</v>
      </c>
      <c r="E218" s="14" t="s">
        <v>28</v>
      </c>
    </row>
    <row r="219">
      <c r="B219" s="27" t="s">
        <v>199</v>
      </c>
      <c r="C219" s="26"/>
      <c r="D219" s="27" t="s">
        <v>201</v>
      </c>
      <c r="E219" s="14" t="s">
        <v>26</v>
      </c>
    </row>
    <row r="220">
      <c r="B220" s="27" t="s">
        <v>198</v>
      </c>
      <c r="C220" s="26"/>
      <c r="D220" s="27" t="s">
        <v>200</v>
      </c>
      <c r="E220" s="14" t="s">
        <v>28</v>
      </c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8</v>
      </c>
      <c r="C3" s="12" t="s">
        <v>10</v>
      </c>
      <c r="D3" s="10" t="s">
        <v>13</v>
      </c>
      <c r="E3" s="13" t="str">
        <f>HYPERLINK("https://youtu.be/4QKaL1aASDQ","channel 1")</f>
        <v>channel 1</v>
      </c>
    </row>
    <row r="4">
      <c r="A4" s="7"/>
      <c r="B4" s="10" t="s">
        <v>17</v>
      </c>
      <c r="C4" s="12" t="s">
        <v>20</v>
      </c>
      <c r="D4" s="10" t="s">
        <v>22</v>
      </c>
      <c r="E4" s="13" t="str">
        <f>HYPERLINK("https://youtu.be/QcDL9T0cxbg","channel 2")</f>
        <v>channel 2</v>
      </c>
    </row>
    <row r="5">
      <c r="A5" s="7"/>
      <c r="B5" s="10" t="s">
        <v>29</v>
      </c>
      <c r="C5" s="12" t="s">
        <v>30</v>
      </c>
      <c r="D5" s="10" t="s">
        <v>8</v>
      </c>
      <c r="E5" s="13" t="str">
        <f>HYPERLINK("https://youtu.be/4QKaL1aASDQ?t=900","channel 1")</f>
        <v>channel 1</v>
      </c>
    </row>
    <row r="6">
      <c r="A6" s="7"/>
      <c r="B6" s="10" t="s">
        <v>17</v>
      </c>
      <c r="C6" s="12" t="s">
        <v>27</v>
      </c>
      <c r="D6" s="10" t="s">
        <v>13</v>
      </c>
      <c r="E6" s="13" t="str">
        <f>HYPERLINK("https://youtu.be/QcDL9T0cxbg?t=949","channel 2")</f>
        <v>channel 2</v>
      </c>
    </row>
    <row r="7">
      <c r="A7" s="7"/>
      <c r="B7" s="10" t="s">
        <v>29</v>
      </c>
      <c r="C7" s="12" t="s">
        <v>32</v>
      </c>
      <c r="D7" s="10" t="s">
        <v>22</v>
      </c>
      <c r="E7" s="13" t="str">
        <f>HYPERLINK("https://youtu.be/4QKaL1aASDQ?t=1883","channel 1")</f>
        <v>channel 1</v>
      </c>
    </row>
    <row r="8">
      <c r="A8" s="7"/>
      <c r="B8" s="10" t="s">
        <v>17</v>
      </c>
      <c r="C8" s="12" t="s">
        <v>35</v>
      </c>
      <c r="D8" s="10" t="s">
        <v>8</v>
      </c>
      <c r="E8" s="13" t="str">
        <f>HYPERLINK("https://youtu.be/QcDL9T0cxbg?t=1881","channel 2")</f>
        <v>channel 2</v>
      </c>
    </row>
    <row r="9">
      <c r="A9" s="7"/>
      <c r="B9" s="10" t="s">
        <v>29</v>
      </c>
      <c r="C9" s="12" t="s">
        <v>24</v>
      </c>
      <c r="D9" s="10" t="s">
        <v>13</v>
      </c>
      <c r="E9" s="13" t="str">
        <f>HYPERLINK("https://youtu.be/4QKaL1aASDQ?t=2872","channel 1")</f>
        <v>channel 1</v>
      </c>
    </row>
    <row r="10">
      <c r="A10" s="7"/>
      <c r="B10" s="10" t="s">
        <v>22</v>
      </c>
      <c r="C10" s="12" t="s">
        <v>38</v>
      </c>
      <c r="D10" s="10" t="s">
        <v>8</v>
      </c>
      <c r="E10" s="13" t="str">
        <f>HYPERLINK("https://youtu.be/QcDL9T0cxbg?t=2896","channel 2")</f>
        <v>channel 2</v>
      </c>
    </row>
    <row r="11">
      <c r="A11" s="7"/>
      <c r="B11" s="10" t="s">
        <v>29</v>
      </c>
      <c r="C11" s="12" t="s">
        <v>40</v>
      </c>
      <c r="D11" s="10" t="s">
        <v>17</v>
      </c>
      <c r="E11" s="13" t="str">
        <f>HYPERLINK("https://youtu.be/4QKaL1aASDQ?t=3855","channel 1")</f>
        <v>channel 1</v>
      </c>
    </row>
    <row r="12">
      <c r="A12" s="7"/>
      <c r="B12" s="10" t="s">
        <v>22</v>
      </c>
      <c r="C12" s="12" t="s">
        <v>43</v>
      </c>
      <c r="D12" s="10" t="s">
        <v>13</v>
      </c>
      <c r="E12" s="13" t="str">
        <f>HYPERLINK("https://youtu.be/QcDL9T0cxbg?t=3918","channel 2")</f>
        <v>channel 2</v>
      </c>
    </row>
    <row r="13">
      <c r="A13" s="7"/>
      <c r="B13" s="10" t="s">
        <v>13</v>
      </c>
      <c r="C13" s="12" t="s">
        <v>44</v>
      </c>
      <c r="D13" s="10" t="s">
        <v>8</v>
      </c>
      <c r="E13" s="13" t="str">
        <f>HYPERLINK("https://youtu.be/4QKaL1aASDQ?t=4797","channel 1")</f>
        <v>channel 1</v>
      </c>
    </row>
    <row r="14">
      <c r="A14" s="7"/>
      <c r="B14" s="10" t="s">
        <v>22</v>
      </c>
      <c r="C14" s="18" t="s">
        <v>47</v>
      </c>
      <c r="D14" s="10" t="s">
        <v>17</v>
      </c>
      <c r="E14" s="13" t="str">
        <f>HYPERLINK("https://youtu.be/QcDL9T0cxbg?t=4861","channel 2")</f>
        <v>channel 2</v>
      </c>
    </row>
    <row r="15">
      <c r="A15" s="7"/>
      <c r="B15" s="10" t="s">
        <v>8</v>
      </c>
      <c r="C15" s="18" t="s">
        <v>49</v>
      </c>
      <c r="D15" s="10" t="s">
        <v>29</v>
      </c>
      <c r="E15" s="13" t="str">
        <f>HYPERLINK("https://youtu.be/4QKaL1aASDQ?t=5636","channel 1")</f>
        <v>channel 1</v>
      </c>
    </row>
    <row r="16">
      <c r="A16" s="7"/>
      <c r="B16" s="10" t="s">
        <v>13</v>
      </c>
      <c r="C16" s="12" t="s">
        <v>42</v>
      </c>
      <c r="D16" s="10" t="s">
        <v>17</v>
      </c>
      <c r="E16" s="13" t="str">
        <f>HYPERLINK("https://youtu.be/QcDL9T0cxbg?t=5752","channel 2")</f>
        <v>channel 2</v>
      </c>
    </row>
    <row r="17">
      <c r="A17" s="7"/>
      <c r="B17" s="10" t="s">
        <v>22</v>
      </c>
      <c r="C17" s="12" t="s">
        <v>54</v>
      </c>
      <c r="D17" s="10" t="s">
        <v>29</v>
      </c>
      <c r="E17" s="13" t="str">
        <f>HYPERLINK("https://youtu.be/4QKaL1aASDQ?t=6564","channel 1")</f>
        <v>channel 1</v>
      </c>
    </row>
    <row r="18">
      <c r="A18" s="7"/>
      <c r="B18" s="10" t="s">
        <v>8</v>
      </c>
      <c r="C18" s="12" t="s">
        <v>55</v>
      </c>
      <c r="D18" s="10" t="s">
        <v>17</v>
      </c>
      <c r="E18" s="13" t="str">
        <f>HYPERLINK("https://youtu.be/QcDL9T0cxbg?t=6645","channel 2")</f>
        <v>channel 2</v>
      </c>
    </row>
    <row r="19">
      <c r="A19" s="7"/>
      <c r="B19" s="10" t="s">
        <v>13</v>
      </c>
      <c r="C19" s="20" t="s">
        <v>37</v>
      </c>
      <c r="D19" s="10" t="s">
        <v>29</v>
      </c>
      <c r="E19" s="13" t="str">
        <f>HYPERLINK("https://youtu.be/4QKaL1aASDQ?t=7622","channel 1")</f>
        <v>channel 1</v>
      </c>
    </row>
    <row r="20">
      <c r="A20" s="7"/>
      <c r="B20" s="10" t="s">
        <v>8</v>
      </c>
      <c r="C20" s="21" t="s">
        <v>57</v>
      </c>
      <c r="D20" s="10" t="s">
        <v>22</v>
      </c>
      <c r="E20" s="13" t="str">
        <f>HYPERLINK("https://youtu.be/QcDL9T0cxbg?t=7634","channel 2")</f>
        <v>channel 2</v>
      </c>
    </row>
    <row r="21">
      <c r="A21" s="7"/>
      <c r="B21" s="10" t="s">
        <v>17</v>
      </c>
      <c r="C21" s="21" t="s">
        <v>59</v>
      </c>
      <c r="D21" s="10" t="s">
        <v>29</v>
      </c>
      <c r="E21" s="13" t="str">
        <f>HYPERLINK("https://youtu.be/4QKaL1aASDQ?t=8482","channel 1")</f>
        <v>channel 1</v>
      </c>
    </row>
    <row r="22">
      <c r="A22" s="7"/>
      <c r="B22" s="10" t="s">
        <v>13</v>
      </c>
      <c r="C22" s="21" t="s">
        <v>61</v>
      </c>
      <c r="D22" s="10" t="s">
        <v>22</v>
      </c>
      <c r="E22" s="13" t="str">
        <f>HYPERLINK("https://youtu.be/QcDL9T0cxbg?t=8597","channel 2")</f>
        <v>channel 2</v>
      </c>
    </row>
    <row r="23">
      <c r="A23" s="7"/>
      <c r="B23" s="2" t="s">
        <v>64</v>
      </c>
      <c r="C23" s="3"/>
      <c r="D23" s="4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67</v>
      </c>
      <c r="C25" s="12" t="s">
        <v>69</v>
      </c>
      <c r="D25" s="10" t="s">
        <v>70</v>
      </c>
      <c r="E25" s="13" t="str">
        <f>HYPERLINK("https://youtu.be/YgoxtW8kqOg","channel 1")</f>
        <v>channel 1</v>
      </c>
    </row>
    <row r="26">
      <c r="A26" s="7"/>
      <c r="B26" s="10" t="s">
        <v>73</v>
      </c>
      <c r="C26" s="12" t="s">
        <v>74</v>
      </c>
      <c r="D26" s="10" t="s">
        <v>76</v>
      </c>
      <c r="E26" s="13" t="str">
        <f>HYPERLINK("https://youtu.be/1fewEyUMNwE","channel 2")</f>
        <v>channel 2</v>
      </c>
    </row>
    <row r="27">
      <c r="A27" s="7"/>
      <c r="B27" s="10" t="s">
        <v>79</v>
      </c>
      <c r="C27" s="12" t="s">
        <v>80</v>
      </c>
      <c r="D27" s="10" t="s">
        <v>67</v>
      </c>
      <c r="E27" s="13" t="str">
        <f>HYPERLINK("https://youtu.be/YgoxtW8kqOg?t=914","channel 1")</f>
        <v>channel 1</v>
      </c>
    </row>
    <row r="28">
      <c r="A28" s="7"/>
      <c r="B28" s="10" t="s">
        <v>73</v>
      </c>
      <c r="C28" s="12" t="s">
        <v>82</v>
      </c>
      <c r="D28" s="10" t="s">
        <v>70</v>
      </c>
      <c r="E28" s="13" t="str">
        <f>HYPERLINK("https://youtu.be/1fewEyUMNwE?t=967","channel 2")</f>
        <v>channel 2</v>
      </c>
    </row>
    <row r="29">
      <c r="A29" s="7"/>
      <c r="B29" s="10" t="s">
        <v>79</v>
      </c>
      <c r="C29" s="12" t="s">
        <v>27</v>
      </c>
      <c r="D29" s="10" t="s">
        <v>76</v>
      </c>
      <c r="E29" s="13" t="str">
        <f>HYPERLINK("https://youtu.be/YgoxtW8kqOg?t=1941","channel 1")</f>
        <v>channel 1</v>
      </c>
    </row>
    <row r="30">
      <c r="A30" s="7"/>
      <c r="B30" s="10" t="s">
        <v>73</v>
      </c>
      <c r="C30" s="12" t="s">
        <v>10</v>
      </c>
      <c r="D30" s="10" t="s">
        <v>67</v>
      </c>
      <c r="E30" s="13" t="str">
        <f>HYPERLINK("https://youtu.be/1fewEyUMNwE?t=2263","channel 2")</f>
        <v>channel 2</v>
      </c>
    </row>
    <row r="31">
      <c r="A31" s="7"/>
      <c r="B31" s="10" t="s">
        <v>79</v>
      </c>
      <c r="C31" s="12" t="s">
        <v>86</v>
      </c>
      <c r="D31" s="10" t="s">
        <v>70</v>
      </c>
      <c r="E31" s="13" t="str">
        <f>HYPERLINK("https://youtu.be/YgoxtW8kqOg?t=3317","channel 1")</f>
        <v>channel 1</v>
      </c>
    </row>
    <row r="32">
      <c r="A32" s="7"/>
      <c r="B32" s="10" t="s">
        <v>76</v>
      </c>
      <c r="C32" s="12" t="s">
        <v>87</v>
      </c>
      <c r="D32" s="10" t="s">
        <v>67</v>
      </c>
      <c r="E32" s="13" t="str">
        <f>HYPERLINK("https://youtu.be/1fewEyUMNwE?t=3343","channel 2")</f>
        <v>channel 2</v>
      </c>
    </row>
    <row r="33">
      <c r="A33" s="7"/>
      <c r="B33" s="10" t="s">
        <v>79</v>
      </c>
      <c r="C33" s="12" t="s">
        <v>89</v>
      </c>
      <c r="D33" s="10" t="s">
        <v>73</v>
      </c>
      <c r="E33" s="13" t="str">
        <f>HYPERLINK("https://youtu.be/YgoxtW8kqOg?t=4395","channel 1")</f>
        <v>channel 1</v>
      </c>
    </row>
    <row r="34">
      <c r="A34" s="7"/>
      <c r="B34" s="10" t="s">
        <v>76</v>
      </c>
      <c r="C34" s="12" t="s">
        <v>90</v>
      </c>
      <c r="D34" s="10" t="s">
        <v>70</v>
      </c>
      <c r="E34" s="13" t="str">
        <f>HYPERLINK("https://youtu.be/1fewEyUMNwE?t=4428","channel 2")</f>
        <v>channel 2</v>
      </c>
    </row>
    <row r="35">
      <c r="A35" s="7"/>
      <c r="B35" s="10" t="s">
        <v>70</v>
      </c>
      <c r="C35" s="12" t="s">
        <v>93</v>
      </c>
      <c r="D35" s="10" t="s">
        <v>67</v>
      </c>
      <c r="E35" s="13" t="str">
        <f>HYPERLINK("https://youtu.be/YgoxtW8kqOg?t=5429","channel 1")</f>
        <v>channel 1</v>
      </c>
    </row>
    <row r="36">
      <c r="A36" s="7"/>
      <c r="B36" s="10" t="s">
        <v>76</v>
      </c>
      <c r="C36" s="12" t="s">
        <v>97</v>
      </c>
      <c r="D36" s="10" t="s">
        <v>73</v>
      </c>
      <c r="E36" s="13" t="str">
        <f>HYPERLINK("https://youtu.be/1fewEyUMNwE?t=5494","channel 2")</f>
        <v>channel 2</v>
      </c>
    </row>
    <row r="37">
      <c r="A37" s="7"/>
      <c r="B37" s="10" t="s">
        <v>67</v>
      </c>
      <c r="C37" s="12" t="s">
        <v>101</v>
      </c>
      <c r="D37" s="10" t="s">
        <v>79</v>
      </c>
      <c r="E37" s="13" t="str">
        <f>HYPERLINK("https://youtu.be/YgoxtW8kqOg?t=6500","channel 1")</f>
        <v>channel 1</v>
      </c>
    </row>
    <row r="38">
      <c r="A38" s="7"/>
      <c r="B38" s="10" t="s">
        <v>70</v>
      </c>
      <c r="C38" s="12" t="s">
        <v>103</v>
      </c>
      <c r="D38" s="10" t="s">
        <v>73</v>
      </c>
      <c r="E38" s="13" t="str">
        <f>HYPERLINK("https://youtu.be/1fewEyUMNwE?t=6402","channel 2")</f>
        <v>channel 2</v>
      </c>
    </row>
    <row r="39">
      <c r="A39" s="7"/>
      <c r="B39" s="10" t="s">
        <v>76</v>
      </c>
      <c r="C39" s="18" t="s">
        <v>104</v>
      </c>
      <c r="D39" s="10" t="s">
        <v>79</v>
      </c>
      <c r="E39" s="13" t="str">
        <f>HYPERLINK("https://youtu.be/YgoxtW8kqOg?t=7311","channel 1")</f>
        <v>channel 1</v>
      </c>
    </row>
    <row r="40">
      <c r="A40" s="7"/>
      <c r="B40" s="10" t="s">
        <v>67</v>
      </c>
      <c r="C40" s="12" t="s">
        <v>107</v>
      </c>
      <c r="D40" s="10" t="s">
        <v>73</v>
      </c>
      <c r="E40" s="13" t="str">
        <f>HYPERLINK("https://youtu.be/1fewEyUMNwE?t=7415","channel 2")</f>
        <v>channel 2</v>
      </c>
    </row>
    <row r="41">
      <c r="A41" s="7"/>
      <c r="B41" s="10" t="s">
        <v>70</v>
      </c>
      <c r="C41" s="12" t="s">
        <v>109</v>
      </c>
      <c r="D41" s="10" t="s">
        <v>79</v>
      </c>
      <c r="E41" s="13" t="str">
        <f>HYPERLINK("https://youtu.be/YgoxtW8kqOg?t=8308","channel 1")</f>
        <v>channel 1</v>
      </c>
    </row>
    <row r="42">
      <c r="A42" s="7"/>
      <c r="B42" s="10" t="s">
        <v>67</v>
      </c>
      <c r="C42" s="12" t="s">
        <v>111</v>
      </c>
      <c r="D42" s="10" t="s">
        <v>76</v>
      </c>
      <c r="E42" s="13" t="str">
        <f>HYPERLINK("https://youtu.be/1fewEyUMNwE?t=8354","channel 2")</f>
        <v>channel 2</v>
      </c>
    </row>
    <row r="43">
      <c r="A43" s="7"/>
      <c r="B43" s="10" t="s">
        <v>73</v>
      </c>
      <c r="C43" s="12" t="s">
        <v>49</v>
      </c>
      <c r="D43" s="10" t="s">
        <v>79</v>
      </c>
      <c r="E43" s="13" t="str">
        <f>HYPERLINK("https://youtu.be/YgoxtW8kqOg?t=9215","channel 1")</f>
        <v>channel 1</v>
      </c>
    </row>
    <row r="44">
      <c r="A44" s="7"/>
      <c r="B44" s="10" t="s">
        <v>70</v>
      </c>
      <c r="C44" s="12" t="s">
        <v>116</v>
      </c>
      <c r="D44" s="10" t="s">
        <v>76</v>
      </c>
      <c r="E44" s="13" t="str">
        <f>HYPERLINK("https://youtu.be/1fewEyUMNwE?t=9292","channel 2")</f>
        <v>channel 2</v>
      </c>
    </row>
    <row r="45">
      <c r="A45" s="7"/>
      <c r="B45" s="2" t="s">
        <v>122</v>
      </c>
      <c r="C45" s="3"/>
      <c r="D45" s="4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125</v>
      </c>
      <c r="C47" s="12" t="s">
        <v>46</v>
      </c>
      <c r="D47" s="10" t="s">
        <v>126</v>
      </c>
      <c r="E47" s="13" t="str">
        <f>HYPERLINK("https://youtu.be/0PQU7E7-MXU","channel 3")</f>
        <v>channel 3</v>
      </c>
    </row>
    <row r="48">
      <c r="A48" s="7"/>
      <c r="B48" s="10" t="s">
        <v>129</v>
      </c>
      <c r="C48" s="12" t="s">
        <v>34</v>
      </c>
      <c r="D48" s="10" t="s">
        <v>130</v>
      </c>
      <c r="E48" s="13" t="str">
        <f>HYPERLINK("https://youtu.be/AM_UZE2Wtcc","channel 4")</f>
        <v>channel 4</v>
      </c>
    </row>
    <row r="49">
      <c r="A49" s="7"/>
      <c r="B49" s="10" t="s">
        <v>131</v>
      </c>
      <c r="C49" s="12" t="s">
        <v>132</v>
      </c>
      <c r="D49" s="10" t="s">
        <v>125</v>
      </c>
      <c r="E49" s="13" t="str">
        <f>HYPERLINK("https://youtu.be/0PQU7E7-MXU?t=891","channel 3")</f>
        <v>channel 3</v>
      </c>
    </row>
    <row r="50">
      <c r="A50" s="7"/>
      <c r="B50" s="10" t="s">
        <v>129</v>
      </c>
      <c r="C50" s="12" t="s">
        <v>135</v>
      </c>
      <c r="D50" s="10" t="s">
        <v>126</v>
      </c>
      <c r="E50" s="13" t="str">
        <f>HYPERLINK("https://youtu.be/AM_UZE2Wtcc?t=1012","channel 4")</f>
        <v>channel 4</v>
      </c>
    </row>
    <row r="51">
      <c r="A51" s="7"/>
      <c r="B51" s="10" t="s">
        <v>131</v>
      </c>
      <c r="C51" s="12" t="s">
        <v>138</v>
      </c>
      <c r="D51" s="10" t="s">
        <v>130</v>
      </c>
      <c r="E51" s="13" t="str">
        <f>HYPERLINK("https://youtu.be/0PQU7E7-MXU?t=1742","channel 3")</f>
        <v>channel 3</v>
      </c>
    </row>
    <row r="52">
      <c r="A52" s="7"/>
      <c r="B52" s="10" t="s">
        <v>129</v>
      </c>
      <c r="C52" s="12" t="s">
        <v>141</v>
      </c>
      <c r="D52" s="10" t="s">
        <v>125</v>
      </c>
      <c r="E52" s="13" t="str">
        <f>HYPERLINK("https://youtu.be/AM_UZE2Wtcc?t=2089","channel 4")</f>
        <v>channel 4</v>
      </c>
    </row>
    <row r="53">
      <c r="A53" s="7"/>
      <c r="B53" s="10" t="s">
        <v>131</v>
      </c>
      <c r="C53" s="12" t="s">
        <v>111</v>
      </c>
      <c r="D53" s="10" t="s">
        <v>126</v>
      </c>
      <c r="E53" s="13" t="str">
        <f>HYPERLINK("https://youtu.be/0PQU7E7-MXU?t=2694","channel 3")</f>
        <v>channel 3</v>
      </c>
    </row>
    <row r="54">
      <c r="A54" s="7"/>
      <c r="B54" s="10" t="s">
        <v>130</v>
      </c>
      <c r="C54" s="12" t="s">
        <v>31</v>
      </c>
      <c r="D54" s="10" t="s">
        <v>125</v>
      </c>
      <c r="E54" s="13" t="str">
        <f>HYPERLINK("https://youtu.be/AM_UZE2Wtcc?t=2988","channel 4")</f>
        <v>channel 4</v>
      </c>
    </row>
    <row r="55">
      <c r="A55" s="7"/>
      <c r="B55" s="10" t="s">
        <v>131</v>
      </c>
      <c r="C55" s="12" t="s">
        <v>97</v>
      </c>
      <c r="D55" s="10" t="s">
        <v>129</v>
      </c>
      <c r="E55" s="13" t="str">
        <f>HYPERLINK("https://youtu.be/0PQU7E7-MXU?t=3632","channel 3")</f>
        <v>channel 3</v>
      </c>
    </row>
    <row r="56">
      <c r="A56" s="7"/>
      <c r="B56" s="10" t="s">
        <v>130</v>
      </c>
      <c r="C56" s="12" t="s">
        <v>97</v>
      </c>
      <c r="D56" s="10" t="s">
        <v>126</v>
      </c>
      <c r="E56" s="13" t="str">
        <f>HYPERLINK("https://youtu.be/AM_UZE2Wtcc?t=3896","channel 4")</f>
        <v>channel 4</v>
      </c>
    </row>
    <row r="57">
      <c r="A57" s="7"/>
      <c r="B57" s="10" t="s">
        <v>126</v>
      </c>
      <c r="C57" s="12" t="s">
        <v>145</v>
      </c>
      <c r="D57" s="10" t="s">
        <v>125</v>
      </c>
      <c r="E57" s="13" t="str">
        <f>HYPERLINK("https://youtu.be/0PQU7E7-MXU?t=4680","channel 3")</f>
        <v>channel 3</v>
      </c>
    </row>
    <row r="58">
      <c r="A58" s="7"/>
      <c r="B58" s="10" t="s">
        <v>130</v>
      </c>
      <c r="C58" s="12" t="s">
        <v>103</v>
      </c>
      <c r="D58" s="10" t="s">
        <v>129</v>
      </c>
      <c r="E58" s="13" t="str">
        <f>HYPERLINK("https://youtu.be/AM_UZE2Wtcc?t=4892","channel 4")</f>
        <v>channel 4</v>
      </c>
    </row>
    <row r="59">
      <c r="A59" s="7"/>
      <c r="B59" s="10" t="s">
        <v>125</v>
      </c>
      <c r="C59" s="12" t="s">
        <v>148</v>
      </c>
      <c r="D59" s="10" t="s">
        <v>131</v>
      </c>
      <c r="E59" s="13" t="str">
        <f>HYPERLINK("https://youtu.be/0PQU7E7-MXU?t=5618","channel 3")</f>
        <v>channel 3</v>
      </c>
    </row>
    <row r="60">
      <c r="A60" s="7"/>
      <c r="B60" s="10" t="s">
        <v>126</v>
      </c>
      <c r="C60" s="12" t="s">
        <v>148</v>
      </c>
      <c r="D60" s="10" t="s">
        <v>129</v>
      </c>
      <c r="E60" s="13" t="str">
        <f>HYPERLINK("https://youtu.be/AM_UZE2Wtcc?t=5810","channel 4")</f>
        <v>channel 4</v>
      </c>
    </row>
    <row r="61">
      <c r="A61" s="7"/>
      <c r="B61" s="10" t="s">
        <v>130</v>
      </c>
      <c r="C61" s="12" t="s">
        <v>152</v>
      </c>
      <c r="D61" s="10" t="s">
        <v>131</v>
      </c>
      <c r="E61" s="13" t="str">
        <f>HYPERLINK("https://youtu.be/0PQU7E7-MXU?t=6507","channel 3")</f>
        <v>channel 3</v>
      </c>
    </row>
    <row r="62">
      <c r="A62" s="7"/>
      <c r="B62" s="10" t="s">
        <v>125</v>
      </c>
      <c r="C62" s="12" t="s">
        <v>155</v>
      </c>
      <c r="D62" s="10" t="s">
        <v>129</v>
      </c>
      <c r="E62" s="13" t="str">
        <f>HYPERLINK("https://youtu.be/AM_UZE2Wtcc?t=5810","channel 4")</f>
        <v>channel 4</v>
      </c>
    </row>
    <row r="63">
      <c r="A63" s="7"/>
      <c r="B63" s="10" t="s">
        <v>126</v>
      </c>
      <c r="C63" s="12" t="s">
        <v>157</v>
      </c>
      <c r="D63" s="10" t="s">
        <v>131</v>
      </c>
      <c r="E63" s="13" t="str">
        <f>HYPERLINK("https://youtu.be/0PQU7E7-MXU?t=7408","channel 3")</f>
        <v>channel 3</v>
      </c>
    </row>
    <row r="64">
      <c r="A64" s="7"/>
      <c r="B64" s="10" t="s">
        <v>125</v>
      </c>
      <c r="C64" s="12" t="s">
        <v>108</v>
      </c>
      <c r="D64" s="10" t="s">
        <v>130</v>
      </c>
      <c r="E64" s="13" t="str">
        <f>HYPERLINK("https://youtu.be/AM_UZE2Wtcc?t=7741","channel 4")</f>
        <v>channel 4</v>
      </c>
    </row>
    <row r="65">
      <c r="A65" s="7"/>
      <c r="B65" s="10" t="s">
        <v>129</v>
      </c>
      <c r="C65" s="12" t="s">
        <v>93</v>
      </c>
      <c r="D65" s="10" t="s">
        <v>131</v>
      </c>
      <c r="E65" s="13" t="str">
        <f>HYPERLINK("https://youtu.be/0PQU7E7-MXU?t=8360","channel 3")</f>
        <v>channel 3</v>
      </c>
    </row>
    <row r="66">
      <c r="A66" s="7"/>
      <c r="B66" s="10" t="s">
        <v>126</v>
      </c>
      <c r="C66" s="12" t="s">
        <v>24</v>
      </c>
      <c r="D66" s="10" t="s">
        <v>130</v>
      </c>
      <c r="E66" s="13" t="str">
        <f>HYPERLINK("https://youtu.be/AM_UZE2Wtcc?t=8645","channel 4")</f>
        <v>channel 4</v>
      </c>
    </row>
    <row r="67">
      <c r="A67" s="7"/>
      <c r="B67" s="2" t="s">
        <v>158</v>
      </c>
      <c r="C67" s="3"/>
      <c r="D67" s="4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159</v>
      </c>
      <c r="C69" s="12" t="s">
        <v>160</v>
      </c>
      <c r="D69" s="10" t="s">
        <v>161</v>
      </c>
      <c r="E69" s="13" t="str">
        <f>HYPERLINK("https://youtu.be/J6DkVX4k2yc","channel 3")</f>
        <v>channel 3</v>
      </c>
    </row>
    <row r="70">
      <c r="A70" s="7"/>
      <c r="B70" s="10" t="s">
        <v>162</v>
      </c>
      <c r="C70" s="12" t="s">
        <v>38</v>
      </c>
      <c r="D70" s="10" t="s">
        <v>164</v>
      </c>
      <c r="E70" s="13" t="str">
        <f>HYPERLINK("https://youtu.be/BxlWPq6d6EQ","channel 4")</f>
        <v>channel 4</v>
      </c>
    </row>
    <row r="71">
      <c r="A71" s="7"/>
      <c r="B71" s="10" t="s">
        <v>166</v>
      </c>
      <c r="C71" s="12" t="s">
        <v>168</v>
      </c>
      <c r="D71" s="10" t="s">
        <v>159</v>
      </c>
      <c r="E71" s="13" t="str">
        <f>HYPERLINK("https://youtu.be/J6DkVX4k2yc?t=878","channel 3")</f>
        <v>channel 3</v>
      </c>
    </row>
    <row r="72">
      <c r="A72" s="7"/>
      <c r="B72" s="10" t="s">
        <v>162</v>
      </c>
      <c r="C72" s="12" t="s">
        <v>138</v>
      </c>
      <c r="D72" s="10" t="s">
        <v>161</v>
      </c>
      <c r="E72" s="13" t="str">
        <f>HYPERLINK("https://youtu.be/BxlWPq6d6EQ?t=909","channel 4")</f>
        <v>channel 4</v>
      </c>
    </row>
    <row r="73">
      <c r="A73" s="7"/>
      <c r="B73" s="10" t="s">
        <v>166</v>
      </c>
      <c r="C73" s="12" t="s">
        <v>132</v>
      </c>
      <c r="D73" s="10" t="s">
        <v>164</v>
      </c>
      <c r="E73" s="13" t="str">
        <f>HYPERLINK("https://youtu.be/J6DkVX4k2yc?t=1860","channel 3")</f>
        <v>channel 3</v>
      </c>
    </row>
    <row r="74">
      <c r="A74" s="7"/>
      <c r="B74" s="10" t="s">
        <v>162</v>
      </c>
      <c r="C74" s="12" t="s">
        <v>142</v>
      </c>
      <c r="D74" s="10" t="s">
        <v>159</v>
      </c>
      <c r="E74" s="13" t="str">
        <f>HYPERLINK("https://youtu.be/BxlWPq6d6EQ?t=1865","channel 4")</f>
        <v>channel 4</v>
      </c>
    </row>
    <row r="75">
      <c r="A75" s="7"/>
      <c r="B75" s="10" t="s">
        <v>166</v>
      </c>
      <c r="C75" s="12" t="s">
        <v>179</v>
      </c>
      <c r="D75" s="10" t="s">
        <v>161</v>
      </c>
      <c r="E75" s="13" t="str">
        <f>HYPERLINK("https://youtu.be/J6DkVX4k2yc?t=2957","channel 3")</f>
        <v>channel 3</v>
      </c>
    </row>
    <row r="76">
      <c r="A76" s="7"/>
      <c r="B76" s="10" t="s">
        <v>164</v>
      </c>
      <c r="C76" s="12" t="s">
        <v>103</v>
      </c>
      <c r="D76" s="10" t="s">
        <v>159</v>
      </c>
      <c r="E76" s="13" t="str">
        <f>HYPERLINK("https://youtu.be/BxlWPq6d6EQ?t=2769","channel 4")</f>
        <v>channel 4</v>
      </c>
    </row>
    <row r="77">
      <c r="A77" s="7"/>
      <c r="B77" s="10" t="s">
        <v>166</v>
      </c>
      <c r="C77" s="12" t="s">
        <v>99</v>
      </c>
      <c r="D77" s="10" t="s">
        <v>162</v>
      </c>
      <c r="E77" s="13" t="str">
        <f>HYPERLINK("https://youtu.be/J6DkVX4k2yc?t=3951","channel 3")</f>
        <v>channel 3</v>
      </c>
    </row>
    <row r="78">
      <c r="A78" s="7"/>
      <c r="B78" s="10" t="s">
        <v>164</v>
      </c>
      <c r="C78" s="12" t="s">
        <v>99</v>
      </c>
      <c r="D78" s="10" t="s">
        <v>161</v>
      </c>
      <c r="E78" s="13" t="str">
        <f>HYPERLINK("https://youtu.be/BxlWPq6d6EQ?t=3769","channel 4")</f>
        <v>channel 4</v>
      </c>
    </row>
    <row r="79">
      <c r="A79" s="7"/>
      <c r="B79" s="10" t="s">
        <v>161</v>
      </c>
      <c r="C79" s="12" t="s">
        <v>97</v>
      </c>
      <c r="D79" s="10" t="s">
        <v>159</v>
      </c>
      <c r="E79" s="13" t="str">
        <f>HYPERLINK("https://youtu.be/J6DkVX4k2yc?t=4914","channel 3")</f>
        <v>channel 3</v>
      </c>
    </row>
    <row r="80">
      <c r="A80" s="7"/>
      <c r="B80" s="10" t="s">
        <v>164</v>
      </c>
      <c r="C80" s="12" t="s">
        <v>188</v>
      </c>
      <c r="D80" s="10" t="s">
        <v>162</v>
      </c>
      <c r="E80" s="13" t="str">
        <f>HYPERLINK("https://youtu.be/BxlWPq6d6EQ?t=4802","channel 4")</f>
        <v>channel 4</v>
      </c>
    </row>
    <row r="81">
      <c r="A81" s="7"/>
      <c r="B81" s="10" t="s">
        <v>159</v>
      </c>
      <c r="C81" s="12" t="s">
        <v>190</v>
      </c>
      <c r="D81" s="10" t="s">
        <v>166</v>
      </c>
      <c r="E81" s="14" t="s">
        <v>71</v>
      </c>
    </row>
    <row r="82">
      <c r="A82" s="7"/>
      <c r="B82" s="10" t="s">
        <v>161</v>
      </c>
      <c r="C82" s="12" t="s">
        <v>93</v>
      </c>
      <c r="D82" s="10" t="s">
        <v>162</v>
      </c>
      <c r="E82" s="13" t="str">
        <f>HYPERLINK("https://youtu.be/BxlWPq6d6EQ?t=5740","channel 4")</f>
        <v>channel 4</v>
      </c>
    </row>
    <row r="83">
      <c r="A83" s="7"/>
      <c r="B83" s="10" t="s">
        <v>164</v>
      </c>
      <c r="C83" s="12" t="s">
        <v>190</v>
      </c>
      <c r="D83" s="10" t="s">
        <v>166</v>
      </c>
      <c r="E83" s="13" t="str">
        <f>HYPERLINK("https://youtu.be/J6DkVX4k2yc?t=6798","channel 3")</f>
        <v>channel 3</v>
      </c>
    </row>
    <row r="84">
      <c r="A84" s="7"/>
      <c r="B84" s="10" t="s">
        <v>159</v>
      </c>
      <c r="C84" s="12" t="s">
        <v>37</v>
      </c>
      <c r="D84" s="10" t="s">
        <v>162</v>
      </c>
      <c r="E84" s="13" t="str">
        <f>HYPERLINK("https://youtu.be/BxlWPq6d6EQ?t=6726","channel 4")</f>
        <v>channel 4</v>
      </c>
    </row>
    <row r="85">
      <c r="A85" s="7"/>
      <c r="B85" s="10" t="s">
        <v>161</v>
      </c>
      <c r="C85" s="12" t="s">
        <v>193</v>
      </c>
      <c r="D85" s="10" t="s">
        <v>166</v>
      </c>
      <c r="E85" s="13" t="str">
        <f>HYPERLINK("https://youtu.be/J6DkVX4k2yc?t=7720","channel 3")</f>
        <v>channel 3</v>
      </c>
    </row>
    <row r="86">
      <c r="A86" s="7"/>
      <c r="B86" s="10" t="s">
        <v>159</v>
      </c>
      <c r="C86" s="12" t="s">
        <v>194</v>
      </c>
      <c r="D86" s="10" t="s">
        <v>164</v>
      </c>
      <c r="E86" s="13" t="str">
        <f>HYPERLINK("https://youtu.be/BxlWPq6d6EQ?t=7630","channel 4")</f>
        <v>channel 4</v>
      </c>
    </row>
    <row r="87">
      <c r="A87" s="7"/>
      <c r="B87" s="10" t="s">
        <v>162</v>
      </c>
      <c r="C87" s="12" t="s">
        <v>190</v>
      </c>
      <c r="D87" s="10" t="s">
        <v>166</v>
      </c>
      <c r="E87" s="13" t="str">
        <f>HYPERLINK("https://youtu.be/J6DkVX4k2yc?t=8659","channel 3")</f>
        <v>channel 3</v>
      </c>
    </row>
    <row r="88">
      <c r="A88" s="7"/>
      <c r="B88" s="10" t="s">
        <v>161</v>
      </c>
      <c r="C88" s="12" t="s">
        <v>104</v>
      </c>
      <c r="D88" s="10" t="s">
        <v>164</v>
      </c>
      <c r="E88" s="13" t="str">
        <f>HYPERLINK("https://youtu.be/BxlWPq6d6EQ?t=8575","channel 4")</f>
        <v>channel 4</v>
      </c>
    </row>
    <row r="89">
      <c r="A89" s="7"/>
      <c r="B89" s="2" t="s">
        <v>202</v>
      </c>
      <c r="C89" s="3"/>
      <c r="D89" s="4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203</v>
      </c>
      <c r="C91" s="12" t="s">
        <v>204</v>
      </c>
      <c r="D91" s="10" t="s">
        <v>205</v>
      </c>
      <c r="E91" s="13" t="str">
        <f>HYPERLINK("https://youtu.be/4Ns2OV0QuMQ","channel 1")</f>
        <v>channel 1</v>
      </c>
    </row>
    <row r="92">
      <c r="A92" s="7"/>
      <c r="B92" s="10" t="s">
        <v>207</v>
      </c>
      <c r="C92" s="12" t="s">
        <v>44</v>
      </c>
      <c r="D92" s="10" t="s">
        <v>208</v>
      </c>
      <c r="E92" s="13" t="str">
        <f>HYPERLINK("https://youtu.be/JxyBgiXNZX8","channel 2")</f>
        <v>channel 2</v>
      </c>
    </row>
    <row r="93">
      <c r="A93" s="7"/>
      <c r="B93" s="10" t="s">
        <v>209</v>
      </c>
      <c r="C93" s="12" t="s">
        <v>210</v>
      </c>
      <c r="D93" s="10" t="s">
        <v>203</v>
      </c>
      <c r="E93" s="13" t="str">
        <f>HYPERLINK("https://youtu.be/4Ns2OV0QuMQ?t=1047","channel 1")</f>
        <v>channel 1</v>
      </c>
    </row>
    <row r="94">
      <c r="A94" s="7"/>
      <c r="B94" s="10" t="s">
        <v>207</v>
      </c>
      <c r="C94" s="12" t="s">
        <v>211</v>
      </c>
      <c r="D94" s="10" t="s">
        <v>205</v>
      </c>
      <c r="E94" s="13" t="str">
        <f>HYPERLINK("https://youtu.be/JxyBgiXNZX8?t=976","channel 2")</f>
        <v>channel 2</v>
      </c>
    </row>
    <row r="95">
      <c r="A95" s="7"/>
      <c r="B95" s="10" t="s">
        <v>209</v>
      </c>
      <c r="C95" s="12" t="s">
        <v>141</v>
      </c>
      <c r="D95" s="10" t="s">
        <v>208</v>
      </c>
      <c r="E95" s="13" t="str">
        <f>HYPERLINK("https://youtu.be/4Ns2OV0QuMQ?t=1973","channel 1")</f>
        <v>channel 1</v>
      </c>
    </row>
    <row r="96">
      <c r="A96" s="7"/>
      <c r="B96" s="10" t="s">
        <v>207</v>
      </c>
      <c r="C96" s="12" t="s">
        <v>61</v>
      </c>
      <c r="D96" s="10" t="s">
        <v>203</v>
      </c>
      <c r="E96" s="13" t="str">
        <f>HYPERLINK("https://youtu.be/JxyBgiXNZX8?t=1922","channel 2")</f>
        <v>channel 2</v>
      </c>
    </row>
    <row r="97">
      <c r="A97" s="7"/>
      <c r="B97" s="10" t="s">
        <v>209</v>
      </c>
      <c r="C97" s="12" t="s">
        <v>214</v>
      </c>
      <c r="D97" s="10" t="s">
        <v>205</v>
      </c>
      <c r="E97" s="13" t="str">
        <f>HYPERLINK("https://youtu.be/4Ns2OV0QuMQ?t=2904","channel 1")</f>
        <v>channel 1</v>
      </c>
    </row>
    <row r="98">
      <c r="A98" s="7"/>
      <c r="B98" s="10" t="s">
        <v>208</v>
      </c>
      <c r="C98" s="12" t="s">
        <v>45</v>
      </c>
      <c r="D98" s="10" t="s">
        <v>203</v>
      </c>
      <c r="E98" s="13" t="str">
        <f>HYPERLINK("https://youtu.be/JxyBgiXNZX8?t=2872","channel 2")</f>
        <v>channel 2</v>
      </c>
    </row>
    <row r="99">
      <c r="A99" s="7"/>
      <c r="B99" s="10" t="s">
        <v>209</v>
      </c>
      <c r="C99" s="12" t="s">
        <v>218</v>
      </c>
      <c r="D99" s="10" t="s">
        <v>207</v>
      </c>
      <c r="E99" s="13" t="str">
        <f>HYPERLINK("https://youtu.be/4Ns2OV0QuMQ?t=3861","channel 1")</f>
        <v>channel 1</v>
      </c>
    </row>
    <row r="100">
      <c r="A100" s="7"/>
      <c r="B100" s="10" t="s">
        <v>208</v>
      </c>
      <c r="C100" s="12" t="s">
        <v>219</v>
      </c>
      <c r="D100" s="10" t="s">
        <v>205</v>
      </c>
      <c r="E100" s="13" t="str">
        <f>HYPERLINK("https://youtu.be/JxyBgiXNZX8?t=3828","channel 2")</f>
        <v>channel 2</v>
      </c>
    </row>
    <row r="101">
      <c r="A101" s="7"/>
      <c r="B101" s="10" t="s">
        <v>205</v>
      </c>
      <c r="C101" s="12" t="s">
        <v>40</v>
      </c>
      <c r="D101" s="10" t="s">
        <v>203</v>
      </c>
      <c r="E101" s="13" t="str">
        <f>HYPERLINK("https://youtu.be/4Ns2OV0QuMQ?t=4823","channel 1")</f>
        <v>channel 1</v>
      </c>
    </row>
    <row r="102">
      <c r="A102" s="7"/>
      <c r="B102" s="10" t="s">
        <v>208</v>
      </c>
      <c r="C102" s="12" t="s">
        <v>180</v>
      </c>
      <c r="D102" s="10" t="s">
        <v>207</v>
      </c>
      <c r="E102" s="13" t="str">
        <f>HYPERLINK("https://youtu.be/JxyBgiXNZX8?t=4777","channel 2")</f>
        <v>channel 2</v>
      </c>
    </row>
    <row r="103">
      <c r="A103" s="7"/>
      <c r="B103" s="10" t="s">
        <v>203</v>
      </c>
      <c r="C103" s="12" t="s">
        <v>49</v>
      </c>
      <c r="D103" s="10" t="s">
        <v>209</v>
      </c>
      <c r="E103" s="13" t="str">
        <f>HYPERLINK("https://youtu.be/4Ns2OV0QuMQ?t=5781","channel 1")</f>
        <v>channel 1</v>
      </c>
    </row>
    <row r="104">
      <c r="A104" s="7"/>
      <c r="B104" s="10" t="s">
        <v>205</v>
      </c>
      <c r="C104" s="12" t="s">
        <v>224</v>
      </c>
      <c r="D104" s="10" t="s">
        <v>207</v>
      </c>
      <c r="E104" s="13" t="str">
        <f>HYPERLINK("https://youtu.be/JxyBgiXNZX8?t=5739","channel 2")</f>
        <v>channel 2</v>
      </c>
    </row>
    <row r="105">
      <c r="A105" s="7"/>
      <c r="B105" s="10" t="s">
        <v>208</v>
      </c>
      <c r="C105" s="12" t="s">
        <v>226</v>
      </c>
      <c r="D105" s="10" t="s">
        <v>209</v>
      </c>
      <c r="E105" s="13" t="str">
        <f>HYPERLINK("https://youtu.be/4Ns2OV0QuMQ?t=6737","channel 1")</f>
        <v>channel 1</v>
      </c>
    </row>
    <row r="106">
      <c r="A106" s="7"/>
      <c r="B106" s="10" t="s">
        <v>203</v>
      </c>
      <c r="C106" s="12" t="s">
        <v>156</v>
      </c>
      <c r="D106" s="10" t="s">
        <v>207</v>
      </c>
      <c r="E106" s="13" t="str">
        <f>HYPERLINK("https://youtu.be/JxyBgiXNZX8?t=6665","channel 2")</f>
        <v>channel 2</v>
      </c>
    </row>
    <row r="107">
      <c r="A107" s="7"/>
      <c r="B107" s="10" t="s">
        <v>205</v>
      </c>
      <c r="C107" s="12" t="s">
        <v>218</v>
      </c>
      <c r="D107" s="10" t="s">
        <v>209</v>
      </c>
      <c r="E107" s="13" t="str">
        <f>HYPERLINK("https://youtu.be/4Ns2OV0QuMQ?t=7686","channel 1")</f>
        <v>channel 1</v>
      </c>
    </row>
    <row r="108">
      <c r="A108" s="7"/>
      <c r="B108" s="10" t="s">
        <v>203</v>
      </c>
      <c r="C108" s="12" t="s">
        <v>141</v>
      </c>
      <c r="D108" s="10" t="s">
        <v>208</v>
      </c>
      <c r="E108" s="13" t="str">
        <f>HYPERLINK("https://youtu.be/JxyBgiXNZX8?t=7608","channel 2")</f>
        <v>channel 2</v>
      </c>
    </row>
    <row r="109">
      <c r="A109" s="7"/>
      <c r="B109" s="10" t="s">
        <v>207</v>
      </c>
      <c r="C109" s="12" t="s">
        <v>46</v>
      </c>
      <c r="D109" s="10" t="s">
        <v>209</v>
      </c>
      <c r="E109" s="13" t="str">
        <f>HYPERLINK("https://youtu.be/4Ns2OV0QuMQ?t=8701","channel 1")</f>
        <v>channel 1</v>
      </c>
    </row>
    <row r="110">
      <c r="A110" s="7"/>
      <c r="B110" s="10" t="s">
        <v>205</v>
      </c>
      <c r="C110" s="12" t="s">
        <v>145</v>
      </c>
      <c r="D110" s="10" t="s">
        <v>208</v>
      </c>
      <c r="E110" s="13" t="str">
        <f>HYPERLINK("https://youtu.be/JxyBgiXNZX8?t=8606","channel 2")</f>
        <v>channel 2</v>
      </c>
    </row>
    <row r="111">
      <c r="A111" s="7"/>
      <c r="B111" s="2" t="s">
        <v>229</v>
      </c>
      <c r="C111" s="3"/>
      <c r="D111" s="4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231</v>
      </c>
      <c r="C113" s="12" t="s">
        <v>232</v>
      </c>
      <c r="D113" s="10" t="s">
        <v>233</v>
      </c>
      <c r="E113" s="13" t="str">
        <f>HYPERLINK("https://youtu.be/HUHoIldyFW0","channel 1")</f>
        <v>channel 1</v>
      </c>
    </row>
    <row r="114">
      <c r="A114" s="7"/>
      <c r="B114" s="10" t="s">
        <v>234</v>
      </c>
      <c r="C114" s="12" t="s">
        <v>93</v>
      </c>
      <c r="D114" s="10" t="s">
        <v>235</v>
      </c>
      <c r="E114" s="13" t="str">
        <f>HYPERLINK("https://youtu.be/Pq9AC89WksQ","channel 2")</f>
        <v>channel 2</v>
      </c>
    </row>
    <row r="115">
      <c r="A115" s="7"/>
      <c r="B115" s="10" t="s">
        <v>236</v>
      </c>
      <c r="C115" s="12" t="s">
        <v>109</v>
      </c>
      <c r="D115" s="10" t="s">
        <v>231</v>
      </c>
      <c r="E115" s="13" t="str">
        <f>HYPERLINK("https://youtu.be/HUHoIldyFW0?t=1064","channel 1")</f>
        <v>channel 1</v>
      </c>
    </row>
    <row r="116">
      <c r="A116" s="7"/>
      <c r="B116" s="10" t="s">
        <v>234</v>
      </c>
      <c r="C116" s="12" t="s">
        <v>160</v>
      </c>
      <c r="D116" s="10" t="s">
        <v>233</v>
      </c>
      <c r="E116" s="13" t="str">
        <f>HYPERLINK("https://youtu.be/Pq9AC89WksQ?t=1025","channel 2")</f>
        <v>channel 2</v>
      </c>
    </row>
    <row r="117">
      <c r="A117" s="7"/>
      <c r="B117" s="10" t="s">
        <v>236</v>
      </c>
      <c r="C117" s="12" t="s">
        <v>237</v>
      </c>
      <c r="D117" s="10" t="s">
        <v>235</v>
      </c>
      <c r="E117" s="13" t="str">
        <f>HYPERLINK("https://youtu.be/HUHoIldyFW0?t=2023","channel 1")</f>
        <v>channel 1</v>
      </c>
    </row>
    <row r="118">
      <c r="A118" s="7"/>
      <c r="B118" s="10" t="s">
        <v>234</v>
      </c>
      <c r="C118" s="12" t="s">
        <v>226</v>
      </c>
      <c r="D118" s="10" t="s">
        <v>231</v>
      </c>
      <c r="E118" s="13" t="str">
        <f>HYPERLINK("https://youtu.be/Pq9AC89WksQ?t=1025","channel 2")</f>
        <v>channel 2</v>
      </c>
    </row>
    <row r="119">
      <c r="A119" s="7"/>
      <c r="B119" s="10" t="s">
        <v>236</v>
      </c>
      <c r="C119" s="12" t="s">
        <v>94</v>
      </c>
      <c r="D119" s="10" t="s">
        <v>233</v>
      </c>
      <c r="E119" s="13" t="str">
        <f>HYPERLINK("https://youtu.be/HUHoIldyFW0?t=3030","channel 1")</f>
        <v>channel 1</v>
      </c>
    </row>
    <row r="120">
      <c r="A120" s="7"/>
      <c r="B120" s="10" t="s">
        <v>235</v>
      </c>
      <c r="C120" s="12" t="s">
        <v>59</v>
      </c>
      <c r="D120" s="10" t="s">
        <v>231</v>
      </c>
      <c r="E120" s="13" t="str">
        <f>HYPERLINK("https://youtu.be/Pq9AC89WksQ?t=2936","channel 2")</f>
        <v>channel 2</v>
      </c>
    </row>
    <row r="121">
      <c r="A121" s="7"/>
      <c r="B121" s="10" t="s">
        <v>236</v>
      </c>
      <c r="C121" s="12" t="s">
        <v>61</v>
      </c>
      <c r="D121" s="10" t="s">
        <v>234</v>
      </c>
      <c r="E121" s="13" t="str">
        <f>HYPERLINK("https://youtu.be/HUHoIldyFW0?t=4001","channel 1")</f>
        <v>channel 1</v>
      </c>
    </row>
    <row r="122">
      <c r="A122" s="7"/>
      <c r="B122" s="10" t="s">
        <v>235</v>
      </c>
      <c r="C122" s="12" t="s">
        <v>101</v>
      </c>
      <c r="D122" s="10" t="s">
        <v>233</v>
      </c>
      <c r="E122" s="13" t="str">
        <f>HYPERLINK("https://youtu.be/Pq9AC89WksQ?t=3925","channel 2")</f>
        <v>channel 2</v>
      </c>
    </row>
    <row r="123">
      <c r="A123" s="7"/>
      <c r="B123" s="10" t="s">
        <v>233</v>
      </c>
      <c r="C123" s="12" t="s">
        <v>238</v>
      </c>
      <c r="D123" s="10" t="s">
        <v>231</v>
      </c>
      <c r="E123" s="13" t="str">
        <f>HYPERLINK("https://youtu.be/HUHoIldyFW0?t=4920","channel 1")</f>
        <v>channel 1</v>
      </c>
    </row>
    <row r="124">
      <c r="A124" s="7"/>
      <c r="B124" s="10" t="s">
        <v>235</v>
      </c>
      <c r="C124" s="12" t="s">
        <v>111</v>
      </c>
      <c r="D124" s="10" t="s">
        <v>234</v>
      </c>
      <c r="E124" s="13" t="str">
        <f>HYPERLINK("https://youtu.be/Pq9AC89WksQ?t=4891","channel 2")</f>
        <v>channel 2</v>
      </c>
    </row>
    <row r="125">
      <c r="A125" s="7"/>
      <c r="B125" s="10" t="s">
        <v>231</v>
      </c>
      <c r="C125" s="12" t="s">
        <v>59</v>
      </c>
      <c r="D125" s="10" t="s">
        <v>236</v>
      </c>
      <c r="E125" s="13" t="str">
        <f>HYPERLINK("https://youtu.be/HUHoIldyFW0?t=5848","channel 1")</f>
        <v>channel 1</v>
      </c>
    </row>
    <row r="126">
      <c r="A126" s="7"/>
      <c r="B126" s="10" t="s">
        <v>233</v>
      </c>
      <c r="C126" s="12" t="s">
        <v>241</v>
      </c>
      <c r="D126" s="10" t="s">
        <v>234</v>
      </c>
      <c r="E126" s="13" t="str">
        <f>HYPERLINK("https://youtu.be/Pq9AC89WksQ?t=5832","channel 2")</f>
        <v>channel 2</v>
      </c>
    </row>
    <row r="127">
      <c r="A127" s="7"/>
      <c r="B127" s="10" t="s">
        <v>235</v>
      </c>
      <c r="C127" s="12" t="s">
        <v>145</v>
      </c>
      <c r="D127" s="10" t="s">
        <v>236</v>
      </c>
      <c r="E127" s="13" t="str">
        <f>HYPERLINK("https://youtu.be/HUHoIldyFW0?t=6777","channel 1")</f>
        <v>channel 1</v>
      </c>
    </row>
    <row r="128">
      <c r="A128" s="7"/>
      <c r="B128" s="10" t="s">
        <v>231</v>
      </c>
      <c r="C128" s="12" t="s">
        <v>244</v>
      </c>
      <c r="D128" s="10" t="s">
        <v>234</v>
      </c>
      <c r="E128" s="13" t="str">
        <f>HYPERLINK("https://youtu.be/Pq9AC89WksQ?t=6781","channel 2")</f>
        <v>channel 2</v>
      </c>
    </row>
    <row r="129">
      <c r="A129" s="7"/>
      <c r="B129" s="10" t="s">
        <v>233</v>
      </c>
      <c r="C129" s="12" t="s">
        <v>20</v>
      </c>
      <c r="D129" s="10" t="s">
        <v>236</v>
      </c>
      <c r="E129" s="13" t="str">
        <f>HYPERLINK("https://youtu.be/HUHoIldyFW0?t=7743","channel 1")</f>
        <v>channel 1</v>
      </c>
    </row>
    <row r="130">
      <c r="A130" s="7"/>
      <c r="B130" s="10" t="s">
        <v>231</v>
      </c>
      <c r="C130" s="12" t="s">
        <v>249</v>
      </c>
      <c r="D130" s="10" t="s">
        <v>235</v>
      </c>
      <c r="E130" s="13" t="str">
        <f>HYPERLINK("https://youtu.be/Pq9AC89WksQ?t=7724","channel 2")</f>
        <v>channel 2</v>
      </c>
    </row>
    <row r="131">
      <c r="A131" s="7"/>
      <c r="B131" s="10" t="s">
        <v>234</v>
      </c>
      <c r="C131" s="12" t="s">
        <v>77</v>
      </c>
      <c r="D131" s="10" t="s">
        <v>236</v>
      </c>
      <c r="E131" s="13" t="str">
        <f>HYPERLINK("https://youtu.be/HUHoIldyFW0?t=8637","channel 1")</f>
        <v>channel 1</v>
      </c>
    </row>
    <row r="132">
      <c r="A132" s="25"/>
      <c r="B132" s="10" t="s">
        <v>233</v>
      </c>
      <c r="C132" s="12" t="s">
        <v>250</v>
      </c>
      <c r="D132" s="10" t="s">
        <v>235</v>
      </c>
      <c r="E132" s="13" t="str">
        <f>HYPERLINK("https://youtu.be/Pq9AC89WksQ?t=8712","channel 2")</f>
        <v>channel 2</v>
      </c>
    </row>
    <row r="133">
      <c r="B133" s="30" t="s">
        <v>252</v>
      </c>
      <c r="C133" s="3"/>
      <c r="D133" s="4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125</v>
      </c>
      <c r="C135" s="12" t="s">
        <v>34</v>
      </c>
      <c r="D135" s="27" t="s">
        <v>253</v>
      </c>
      <c r="E135" s="13" t="str">
        <f>HYPERLINK("https://youtu.be/oqxH6RwFa74","channel 3")</f>
        <v>channel 3</v>
      </c>
    </row>
    <row r="136">
      <c r="B136" s="27" t="s">
        <v>129</v>
      </c>
      <c r="C136" s="12" t="s">
        <v>37</v>
      </c>
      <c r="D136" s="27" t="s">
        <v>254</v>
      </c>
      <c r="E136" s="13" t="str">
        <f>HYPERLINK("https://youtu.be/yiI9_SNYWtk","channel 4")</f>
        <v>channel 4</v>
      </c>
    </row>
    <row r="137">
      <c r="B137" s="27" t="s">
        <v>256</v>
      </c>
      <c r="C137" s="12" t="s">
        <v>257</v>
      </c>
      <c r="D137" s="27" t="s">
        <v>125</v>
      </c>
      <c r="E137" s="13" t="str">
        <f>HYPERLINK("https://youtu.be/oqxH6RwFa74?t=954","channel 3")</f>
        <v>channel 3</v>
      </c>
    </row>
    <row r="138">
      <c r="B138" s="27" t="s">
        <v>129</v>
      </c>
      <c r="C138" s="12" t="s">
        <v>85</v>
      </c>
      <c r="D138" s="27" t="s">
        <v>253</v>
      </c>
      <c r="E138" s="13" t="str">
        <f>HYPERLINK("https://youtu.be/yiI9_SNYWtk?t=1063","channel 4")</f>
        <v>channel 4</v>
      </c>
    </row>
    <row r="139">
      <c r="B139" s="27" t="s">
        <v>256</v>
      </c>
      <c r="C139" s="12" t="s">
        <v>157</v>
      </c>
      <c r="D139" s="27" t="s">
        <v>254</v>
      </c>
      <c r="E139" s="13" t="str">
        <f>HYPERLINK("https://youtu.be/oqxH6RwFa74?t=1930","channel 3")</f>
        <v>channel 3</v>
      </c>
    </row>
    <row r="140">
      <c r="B140" s="27" t="s">
        <v>129</v>
      </c>
      <c r="C140" s="12" t="s">
        <v>44</v>
      </c>
      <c r="D140" s="27" t="s">
        <v>125</v>
      </c>
      <c r="E140" s="13" t="str">
        <f>HYPERLINK("https://youtu.be/yiI9_SNYWtk?t=2203","channel 4")</f>
        <v>channel 4</v>
      </c>
    </row>
    <row r="141">
      <c r="B141" s="27" t="s">
        <v>256</v>
      </c>
      <c r="C141" s="12" t="s">
        <v>145</v>
      </c>
      <c r="D141" s="27" t="s">
        <v>253</v>
      </c>
      <c r="E141" s="13" t="str">
        <f>HYPERLINK("https://youtu.be/oqxH6RwFa74?t=2933","channel 3")</f>
        <v>channel 3</v>
      </c>
    </row>
    <row r="142">
      <c r="B142" s="27" t="s">
        <v>254</v>
      </c>
      <c r="C142" s="12" t="s">
        <v>10</v>
      </c>
      <c r="D142" s="27" t="s">
        <v>125</v>
      </c>
      <c r="E142" s="13" t="str">
        <f>HYPERLINK("https://youtu.be/yiI9_SNYWtk?t=3192","channel 4")</f>
        <v>channel 4</v>
      </c>
    </row>
    <row r="143">
      <c r="B143" s="27" t="s">
        <v>256</v>
      </c>
      <c r="C143" s="12" t="s">
        <v>258</v>
      </c>
      <c r="D143" s="27" t="s">
        <v>129</v>
      </c>
      <c r="E143" s="13" t="str">
        <f>HYPERLINK("https://youtu.be/oqxH6RwFa74?t=3957","channel 3")</f>
        <v>channel 3</v>
      </c>
    </row>
    <row r="144">
      <c r="B144" s="27" t="s">
        <v>254</v>
      </c>
      <c r="C144" s="12" t="s">
        <v>35</v>
      </c>
      <c r="D144" s="27" t="s">
        <v>253</v>
      </c>
      <c r="E144" s="13" t="str">
        <f>HYPERLINK("https://youtu.be/yiI9_SNYWtk?t=4063","channel 4")</f>
        <v>channel 4</v>
      </c>
    </row>
    <row r="145">
      <c r="B145" s="27" t="s">
        <v>253</v>
      </c>
      <c r="C145" s="12" t="s">
        <v>106</v>
      </c>
      <c r="D145" s="27" t="s">
        <v>125</v>
      </c>
      <c r="E145" s="13" t="str">
        <f>HYPERLINK("https://youtu.be/oqxH6RwFa74?t=5079","channel 3")</f>
        <v>channel 3</v>
      </c>
    </row>
    <row r="146">
      <c r="B146" s="27" t="s">
        <v>254</v>
      </c>
      <c r="C146" s="12" t="s">
        <v>103</v>
      </c>
      <c r="D146" s="27" t="s">
        <v>129</v>
      </c>
      <c r="E146" s="13" t="str">
        <f>HYPERLINK("https://youtu.be/yiI9_SNYWtk?t=5017","channel 4")</f>
        <v>channel 4</v>
      </c>
    </row>
    <row r="147">
      <c r="B147" s="27" t="s">
        <v>125</v>
      </c>
      <c r="C147" s="12" t="s">
        <v>260</v>
      </c>
      <c r="D147" s="27" t="s">
        <v>256</v>
      </c>
      <c r="E147" s="13" t="str">
        <f>HYPERLINK("https://youtu.be/oqxH6RwFa74?t=6041","channel 3")</f>
        <v>channel 3</v>
      </c>
    </row>
    <row r="148">
      <c r="B148" s="27" t="s">
        <v>253</v>
      </c>
      <c r="C148" s="12" t="s">
        <v>10</v>
      </c>
      <c r="D148" s="27" t="s">
        <v>129</v>
      </c>
      <c r="E148" s="13" t="str">
        <f>HYPERLINK("https://youtu.be/yiI9_SNYWtk?t=5982","channel 4")</f>
        <v>channel 4</v>
      </c>
    </row>
    <row r="149">
      <c r="B149" s="27" t="s">
        <v>254</v>
      </c>
      <c r="C149" s="12" t="s">
        <v>40</v>
      </c>
      <c r="D149" s="27" t="s">
        <v>256</v>
      </c>
      <c r="E149" s="13" t="str">
        <f>HYPERLINK("https://youtu.be/oqxH6RwFa74?t=7005","channel 3")</f>
        <v>channel 3</v>
      </c>
    </row>
    <row r="150">
      <c r="B150" s="27" t="s">
        <v>125</v>
      </c>
      <c r="C150" s="12" t="s">
        <v>157</v>
      </c>
      <c r="D150" s="27" t="s">
        <v>129</v>
      </c>
      <c r="E150" s="13" t="str">
        <f>HYPERLINK("https://youtu.be/yiI9_SNYWtk?t=7006","channel 4")</f>
        <v>channel 4</v>
      </c>
    </row>
    <row r="151">
      <c r="B151" s="27" t="s">
        <v>253</v>
      </c>
      <c r="C151" s="12" t="s">
        <v>188</v>
      </c>
      <c r="D151" s="27" t="s">
        <v>256</v>
      </c>
      <c r="E151" s="13" t="str">
        <f>HYPERLINK("https://youtu.be/oqxH6RwFa74?t=7891","channel 3")</f>
        <v>channel 3</v>
      </c>
    </row>
    <row r="152">
      <c r="B152" s="27" t="s">
        <v>125</v>
      </c>
      <c r="C152" s="12" t="s">
        <v>46</v>
      </c>
      <c r="D152" s="27" t="s">
        <v>254</v>
      </c>
      <c r="E152" s="13" t="str">
        <f>HYPERLINK("https://youtu.be/yiI9_SNYWtk?t=7930","channel 4")</f>
        <v>channel 4</v>
      </c>
    </row>
    <row r="153">
      <c r="B153" s="27" t="s">
        <v>129</v>
      </c>
      <c r="C153" s="12" t="s">
        <v>160</v>
      </c>
      <c r="D153" s="27" t="s">
        <v>256</v>
      </c>
      <c r="E153" s="13" t="str">
        <f>HYPERLINK("https://youtu.be/oqxH6RwFa74?t=8848","channel 3")</f>
        <v>channel 3</v>
      </c>
    </row>
    <row r="154">
      <c r="B154" s="27" t="s">
        <v>253</v>
      </c>
      <c r="C154" s="12" t="s">
        <v>46</v>
      </c>
      <c r="D154" s="27" t="s">
        <v>254</v>
      </c>
      <c r="E154" s="13" t="str">
        <f>HYPERLINK("https://youtu.be/yiI9_SNYWtk?t=8817","channel 4")</f>
        <v>channel 4</v>
      </c>
    </row>
    <row r="155">
      <c r="B155" s="2" t="s">
        <v>269</v>
      </c>
      <c r="C155" s="3"/>
      <c r="D155" s="4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270</v>
      </c>
      <c r="C157" s="12" t="s">
        <v>34</v>
      </c>
      <c r="D157" s="27" t="s">
        <v>271</v>
      </c>
      <c r="E157" s="13" t="str">
        <f>HYPERLINK("https://youtu.be/iPzJUAZJ9cw","channel 3")</f>
        <v>channel 3</v>
      </c>
    </row>
    <row r="158">
      <c r="B158" s="27" t="s">
        <v>273</v>
      </c>
      <c r="C158" s="12" t="s">
        <v>32</v>
      </c>
      <c r="D158" s="27" t="s">
        <v>274</v>
      </c>
      <c r="E158" s="23" t="s">
        <v>72</v>
      </c>
    </row>
    <row r="159">
      <c r="B159" s="27" t="s">
        <v>275</v>
      </c>
      <c r="C159" s="12" t="s">
        <v>10</v>
      </c>
      <c r="D159" s="27" t="s">
        <v>270</v>
      </c>
      <c r="E159" s="13" t="str">
        <f>HYPERLINK("https://youtu.be/iPzJUAZJ9cw?t=992","channel 3")</f>
        <v>channel 3</v>
      </c>
    </row>
    <row r="160">
      <c r="B160" s="27" t="s">
        <v>273</v>
      </c>
      <c r="C160" s="12" t="s">
        <v>34</v>
      </c>
      <c r="D160" s="27" t="s">
        <v>271</v>
      </c>
      <c r="E160" s="23" t="s">
        <v>72</v>
      </c>
    </row>
    <row r="161">
      <c r="B161" s="27" t="s">
        <v>275</v>
      </c>
      <c r="C161" s="12" t="s">
        <v>276</v>
      </c>
      <c r="D161" s="27" t="s">
        <v>274</v>
      </c>
      <c r="E161" s="13" t="str">
        <f>HYPERLINK("https://youtu.be/iPzJUAZJ9cw?t=1910","channel 3")</f>
        <v>channel 3</v>
      </c>
    </row>
    <row r="162">
      <c r="B162" s="27" t="s">
        <v>273</v>
      </c>
      <c r="C162" s="12" t="s">
        <v>278</v>
      </c>
      <c r="D162" s="27" t="s">
        <v>270</v>
      </c>
      <c r="E162" s="23" t="s">
        <v>72</v>
      </c>
    </row>
    <row r="163">
      <c r="B163" s="27" t="s">
        <v>275</v>
      </c>
      <c r="C163" s="12" t="s">
        <v>124</v>
      </c>
      <c r="D163" s="27" t="s">
        <v>271</v>
      </c>
      <c r="E163" s="13" t="str">
        <f>HYPERLINK("https://youtu.be/iPzJUAZJ9cw?t=2821","channel 3")</f>
        <v>channel 3</v>
      </c>
    </row>
    <row r="164">
      <c r="B164" s="27" t="s">
        <v>274</v>
      </c>
      <c r="C164" s="12" t="s">
        <v>279</v>
      </c>
      <c r="D164" s="27" t="s">
        <v>270</v>
      </c>
      <c r="E164" s="23" t="s">
        <v>72</v>
      </c>
    </row>
    <row r="165">
      <c r="B165" s="27" t="s">
        <v>275</v>
      </c>
      <c r="C165" s="12" t="s">
        <v>34</v>
      </c>
      <c r="D165" s="27" t="s">
        <v>273</v>
      </c>
      <c r="E165" s="13" t="str">
        <f>HYPERLINK("https://youtu.be/iPzJUAZJ9cw?t=3745","channel 3")</f>
        <v>channel 3</v>
      </c>
    </row>
    <row r="166">
      <c r="B166" s="27" t="s">
        <v>274</v>
      </c>
      <c r="C166" s="12" t="s">
        <v>104</v>
      </c>
      <c r="D166" s="27" t="s">
        <v>271</v>
      </c>
      <c r="E166" s="23" t="s">
        <v>72</v>
      </c>
    </row>
    <row r="167">
      <c r="B167" s="27" t="s">
        <v>271</v>
      </c>
      <c r="C167" s="31" t="s">
        <v>34</v>
      </c>
      <c r="D167" s="27" t="s">
        <v>270</v>
      </c>
      <c r="E167" s="13" t="str">
        <f>HYPERLINK("https://youtu.be/iPzJUAZJ9cw?t=4752","channel 3")</f>
        <v>channel 3</v>
      </c>
    </row>
    <row r="168">
      <c r="B168" s="27" t="s">
        <v>274</v>
      </c>
      <c r="C168" s="12" t="s">
        <v>145</v>
      </c>
      <c r="D168" s="27" t="s">
        <v>273</v>
      </c>
      <c r="E168" s="23" t="s">
        <v>72</v>
      </c>
    </row>
    <row r="169">
      <c r="B169" s="27" t="s">
        <v>270</v>
      </c>
      <c r="C169" s="31" t="s">
        <v>138</v>
      </c>
      <c r="D169" s="27" t="s">
        <v>275</v>
      </c>
      <c r="E169" s="13" t="str">
        <f>HYPERLINK("https://youtu.be/iPzJUAZJ9cw?t=5732","channel 3")</f>
        <v>channel 3</v>
      </c>
    </row>
    <row r="170">
      <c r="B170" s="27" t="s">
        <v>271</v>
      </c>
      <c r="C170" s="31" t="s">
        <v>108</v>
      </c>
      <c r="D170" s="27" t="s">
        <v>273</v>
      </c>
      <c r="E170" s="23" t="s">
        <v>72</v>
      </c>
    </row>
    <row r="171">
      <c r="B171" s="27" t="s">
        <v>274</v>
      </c>
      <c r="C171" s="31" t="s">
        <v>280</v>
      </c>
      <c r="D171" s="27" t="s">
        <v>275</v>
      </c>
      <c r="E171" s="13" t="str">
        <f>HYPERLINK("https://youtu.be/iPzJUAZJ9cw?t=6704","channel 3")</f>
        <v>channel 3</v>
      </c>
    </row>
    <row r="172">
      <c r="B172" s="27" t="s">
        <v>270</v>
      </c>
      <c r="C172" s="31" t="s">
        <v>281</v>
      </c>
      <c r="D172" s="27" t="s">
        <v>273</v>
      </c>
      <c r="E172" s="23" t="s">
        <v>72</v>
      </c>
    </row>
    <row r="173">
      <c r="B173" s="27" t="s">
        <v>271</v>
      </c>
      <c r="C173" s="31" t="s">
        <v>30</v>
      </c>
      <c r="D173" s="27" t="s">
        <v>275</v>
      </c>
      <c r="E173" s="13" t="str">
        <f>HYPERLINK("https://youtu.be/iPzJUAZJ9cw?t=7632","channel 3")</f>
        <v>channel 3</v>
      </c>
    </row>
    <row r="174">
      <c r="B174" s="27" t="s">
        <v>270</v>
      </c>
      <c r="C174" s="31" t="s">
        <v>10</v>
      </c>
      <c r="D174" s="27" t="s">
        <v>274</v>
      </c>
      <c r="E174" s="23" t="s">
        <v>72</v>
      </c>
    </row>
    <row r="175">
      <c r="B175" s="27" t="s">
        <v>273</v>
      </c>
      <c r="C175" s="31" t="s">
        <v>283</v>
      </c>
      <c r="D175" s="27" t="s">
        <v>275</v>
      </c>
      <c r="E175" s="13" t="str">
        <f>HYPERLINK("https://youtu.be/iPzJUAZJ9cw?t=8510","channel 3")</f>
        <v>channel 3</v>
      </c>
    </row>
    <row r="176">
      <c r="B176" s="27" t="s">
        <v>271</v>
      </c>
      <c r="C176" s="31" t="s">
        <v>285</v>
      </c>
      <c r="D176" s="27" t="s">
        <v>274</v>
      </c>
      <c r="E176" s="23" t="s">
        <v>72</v>
      </c>
    </row>
    <row r="177">
      <c r="B177" s="2" t="s">
        <v>287</v>
      </c>
      <c r="C177" s="3"/>
      <c r="D177" s="4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289</v>
      </c>
      <c r="C179" s="12" t="s">
        <v>214</v>
      </c>
      <c r="D179" s="27" t="s">
        <v>290</v>
      </c>
      <c r="E179" s="13" t="str">
        <f>HYPERLINK("https://youtu.be/2gs0BVjeot8","channel 1")</f>
        <v>channel 1</v>
      </c>
    </row>
    <row r="180">
      <c r="B180" s="27" t="s">
        <v>292</v>
      </c>
      <c r="C180" s="12" t="s">
        <v>74</v>
      </c>
      <c r="D180" s="27" t="s">
        <v>293</v>
      </c>
      <c r="E180" s="13" t="str">
        <f>HYPERLINK("https://youtu.be/i5NUEBgLqa4","channel 2")</f>
        <v>channel 2</v>
      </c>
    </row>
    <row r="181">
      <c r="B181" s="27" t="s">
        <v>294</v>
      </c>
      <c r="C181" s="12" t="s">
        <v>295</v>
      </c>
      <c r="D181" s="27" t="s">
        <v>289</v>
      </c>
      <c r="E181" s="13" t="str">
        <f>HYPERLINK("https://youtu.be/2gs0BVjeot8?t=1058","channel 1")</f>
        <v>channel 1</v>
      </c>
    </row>
    <row r="182">
      <c r="B182" s="27" t="s">
        <v>292</v>
      </c>
      <c r="C182" s="12" t="s">
        <v>297</v>
      </c>
      <c r="D182" s="27" t="s">
        <v>290</v>
      </c>
      <c r="E182" s="13" t="str">
        <f>HYPERLINK("https://youtu.be/i5NUEBgLqa4?t=1025","channel 2")</f>
        <v>channel 2</v>
      </c>
    </row>
    <row r="183">
      <c r="B183" s="27" t="s">
        <v>294</v>
      </c>
      <c r="C183" s="12" t="s">
        <v>298</v>
      </c>
      <c r="D183" s="27" t="s">
        <v>293</v>
      </c>
      <c r="E183" s="13" t="str">
        <f>HYPERLINK("https://youtu.be/2gs0BVjeot8?t=1994","channel 1")</f>
        <v>channel 1</v>
      </c>
    </row>
    <row r="184">
      <c r="B184" s="27" t="s">
        <v>292</v>
      </c>
      <c r="C184" s="12" t="s">
        <v>109</v>
      </c>
      <c r="D184" s="27" t="s">
        <v>289</v>
      </c>
      <c r="E184" s="13" t="str">
        <f>HYPERLINK("https://youtu.be/i5NUEBgLqa4?t=1984","channel 2")</f>
        <v>channel 2</v>
      </c>
    </row>
    <row r="185">
      <c r="B185" s="27" t="s">
        <v>294</v>
      </c>
      <c r="C185" s="12" t="s">
        <v>211</v>
      </c>
      <c r="D185" s="27" t="s">
        <v>290</v>
      </c>
      <c r="E185" s="13" t="str">
        <f>HYPERLINK("https://youtu.be/2gs0BVjeot8?t=2995","channel 1")</f>
        <v>channel 1</v>
      </c>
    </row>
    <row r="186">
      <c r="B186" s="27" t="s">
        <v>293</v>
      </c>
      <c r="C186" s="12" t="s">
        <v>42</v>
      </c>
      <c r="D186" s="27" t="s">
        <v>289</v>
      </c>
      <c r="E186" s="13" t="str">
        <f>HYPERLINK("https://youtu.be/i5NUEBgLqa4?t=2886","channel 2")</f>
        <v>channel 2</v>
      </c>
    </row>
    <row r="187">
      <c r="B187" s="27" t="s">
        <v>294</v>
      </c>
      <c r="C187" s="12" t="s">
        <v>135</v>
      </c>
      <c r="D187" s="27" t="s">
        <v>292</v>
      </c>
      <c r="E187" s="13" t="str">
        <f>HYPERLINK("https://youtu.be/2gs0BVjeot8?t=3979","channel 1")</f>
        <v>channel 1</v>
      </c>
    </row>
    <row r="188">
      <c r="B188" s="27" t="s">
        <v>293</v>
      </c>
      <c r="C188" s="12" t="s">
        <v>124</v>
      </c>
      <c r="D188" s="27" t="s">
        <v>290</v>
      </c>
      <c r="E188" s="13" t="str">
        <f>HYPERLINK("https://youtu.be/i5NUEBgLqa4?t=3959","channel 2")</f>
        <v>channel 2</v>
      </c>
    </row>
    <row r="189">
      <c r="B189" s="27" t="s">
        <v>290</v>
      </c>
      <c r="C189" s="12" t="s">
        <v>304</v>
      </c>
      <c r="D189" s="27" t="s">
        <v>289</v>
      </c>
      <c r="E189" s="13" t="str">
        <f>HYPERLINK("https://youtu.be/2gs0BVjeot8?t=4950","channel 1")</f>
        <v>channel 1</v>
      </c>
    </row>
    <row r="190">
      <c r="B190" s="27" t="s">
        <v>293</v>
      </c>
      <c r="C190" s="12" t="s">
        <v>306</v>
      </c>
      <c r="D190" s="27" t="s">
        <v>292</v>
      </c>
      <c r="E190" s="13" t="str">
        <f>HYPERLINK("https://youtu.be/i5NUEBgLqa4?t=4861","channel 2")</f>
        <v>channel 2</v>
      </c>
    </row>
    <row r="191">
      <c r="B191" s="27" t="s">
        <v>289</v>
      </c>
      <c r="C191" s="12" t="s">
        <v>307</v>
      </c>
      <c r="D191" s="27" t="s">
        <v>294</v>
      </c>
      <c r="E191" s="13" t="str">
        <f>HYPERLINK("https://youtu.be/2gs0BVjeot8?t=5912","channel 1")</f>
        <v>channel 1</v>
      </c>
    </row>
    <row r="192">
      <c r="B192" s="27" t="s">
        <v>290</v>
      </c>
      <c r="C192" s="12" t="s">
        <v>113</v>
      </c>
      <c r="D192" s="27" t="s">
        <v>292</v>
      </c>
      <c r="E192" s="13" t="str">
        <f>HYPERLINK("https://youtu.be/i5NUEBgLqa4?t=5896","channel 2")</f>
        <v>channel 2</v>
      </c>
    </row>
    <row r="193">
      <c r="B193" s="27" t="s">
        <v>293</v>
      </c>
      <c r="C193" s="12" t="s">
        <v>38</v>
      </c>
      <c r="D193" s="27" t="s">
        <v>294</v>
      </c>
      <c r="E193" s="13" t="str">
        <f>HYPERLINK("https://youtu.be/2gs0BVjeot8?t=6876","channel 1")</f>
        <v>channel 1</v>
      </c>
    </row>
    <row r="194">
      <c r="B194" s="27" t="s">
        <v>289</v>
      </c>
      <c r="C194" s="12" t="s">
        <v>180</v>
      </c>
      <c r="D194" s="27" t="s">
        <v>292</v>
      </c>
      <c r="E194" s="13" t="str">
        <f>HYPERLINK("https://youtu.be/i5NUEBgLqa4?t=6837","channel 2")</f>
        <v>channel 2</v>
      </c>
    </row>
    <row r="195">
      <c r="B195" s="27" t="s">
        <v>290</v>
      </c>
      <c r="C195" s="12" t="s">
        <v>82</v>
      </c>
      <c r="D195" s="27" t="s">
        <v>294</v>
      </c>
      <c r="E195" s="13" t="str">
        <f>HYPERLINK("https://youtu.be/2gs0BVjeot8?t=7807","channel 1")</f>
        <v>channel 1</v>
      </c>
    </row>
    <row r="196">
      <c r="B196" s="27" t="s">
        <v>289</v>
      </c>
      <c r="C196" s="12" t="s">
        <v>157</v>
      </c>
      <c r="D196" s="27" t="s">
        <v>293</v>
      </c>
      <c r="E196" s="13" t="str">
        <f>HYPERLINK("https://youtu.be/i5NUEBgLqa4?t=7789","channel 2")</f>
        <v>channel 2</v>
      </c>
    </row>
    <row r="197">
      <c r="B197" s="27" t="s">
        <v>292</v>
      </c>
      <c r="C197" s="12" t="s">
        <v>316</v>
      </c>
      <c r="D197" s="27" t="s">
        <v>294</v>
      </c>
      <c r="E197" s="13" t="str">
        <f>HYPERLINK("https://youtu.be/2gs0BVjeot8?t=8706","channel 1")</f>
        <v>channel 1</v>
      </c>
    </row>
    <row r="198">
      <c r="B198" s="27" t="s">
        <v>290</v>
      </c>
      <c r="C198" s="12" t="s">
        <v>37</v>
      </c>
      <c r="D198" s="27" t="s">
        <v>293</v>
      </c>
      <c r="E198" s="13" t="str">
        <f>HYPERLINK("https://youtu.be/i5NUEBgLqa4?t=8650","channel 2")</f>
        <v>channel 2</v>
      </c>
    </row>
    <row r="199">
      <c r="B199" s="2" t="s">
        <v>320</v>
      </c>
      <c r="C199" s="3"/>
      <c r="D199" s="4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321</v>
      </c>
      <c r="C201" s="31" t="s">
        <v>10</v>
      </c>
      <c r="D201" s="27" t="s">
        <v>323</v>
      </c>
      <c r="E201" s="13" t="str">
        <f>HYPERLINK("https://youtu.be/GEA5oYSNWjA","channel 1")</f>
        <v>channel 1</v>
      </c>
    </row>
    <row r="202">
      <c r="B202" s="27" t="s">
        <v>324</v>
      </c>
      <c r="C202" s="31" t="s">
        <v>157</v>
      </c>
      <c r="D202" s="27" t="s">
        <v>325</v>
      </c>
      <c r="E202" s="13" t="str">
        <f>HYPERLINK("https://youtu.be/hSyc2OjSykc","channel 2")</f>
        <v>channel 2</v>
      </c>
    </row>
    <row r="203">
      <c r="B203" s="27" t="s">
        <v>327</v>
      </c>
      <c r="C203" s="31" t="s">
        <v>103</v>
      </c>
      <c r="D203" s="27" t="s">
        <v>321</v>
      </c>
      <c r="E203" s="13" t="str">
        <f>HYPERLINK("https://youtu.be/GEA5oYSNWjA?t=1132","channel 1")</f>
        <v>channel 1</v>
      </c>
    </row>
    <row r="204">
      <c r="B204" s="27" t="s">
        <v>324</v>
      </c>
      <c r="C204" s="31" t="s">
        <v>99</v>
      </c>
      <c r="D204" s="27" t="s">
        <v>323</v>
      </c>
      <c r="E204" s="13" t="str">
        <f>HYPERLINK("https://youtu.be/hSyc2OjSykc?t=1056","channel 2")</f>
        <v>channel 2</v>
      </c>
    </row>
    <row r="205">
      <c r="B205" s="27" t="s">
        <v>327</v>
      </c>
      <c r="C205" s="31" t="s">
        <v>328</v>
      </c>
      <c r="D205" s="27" t="s">
        <v>325</v>
      </c>
      <c r="E205" s="13" t="str">
        <f>HYPERLINK("https://youtu.be/GEA5oYSNWjA?t=2104","channel 1")</f>
        <v>channel 1</v>
      </c>
    </row>
    <row r="206">
      <c r="B206" s="27" t="s">
        <v>324</v>
      </c>
      <c r="C206" s="31" t="s">
        <v>35</v>
      </c>
      <c r="D206" s="27" t="s">
        <v>321</v>
      </c>
      <c r="E206" s="13" t="str">
        <f>HYPERLINK("https://youtu.be/hSyc2OjSykc?t=2018","channel 2")</f>
        <v>channel 2</v>
      </c>
    </row>
    <row r="207">
      <c r="B207" s="27" t="s">
        <v>327</v>
      </c>
      <c r="C207" s="31" t="s">
        <v>103</v>
      </c>
      <c r="D207" s="27" t="s">
        <v>323</v>
      </c>
      <c r="E207" s="13" t="str">
        <f>HYPERLINK("https://youtu.be/GEA5oYSNWjA?t=3120","channel 1")</f>
        <v>channel 1</v>
      </c>
    </row>
    <row r="208">
      <c r="B208" s="27" t="s">
        <v>325</v>
      </c>
      <c r="C208" s="31" t="s">
        <v>46</v>
      </c>
      <c r="D208" s="27" t="s">
        <v>321</v>
      </c>
      <c r="E208" s="13" t="str">
        <f>HYPERLINK("https://youtu.be/hSyc2OjSykc?t=2970","channel 2")</f>
        <v>channel 2</v>
      </c>
    </row>
    <row r="209">
      <c r="B209" s="27" t="s">
        <v>327</v>
      </c>
      <c r="C209" s="31" t="s">
        <v>331</v>
      </c>
      <c r="D209" s="27" t="s">
        <v>324</v>
      </c>
      <c r="E209" s="13" t="str">
        <f>HYPERLINK("https://youtu.be/GEA5oYSNWjA?t=4125","channel 1")</f>
        <v>channel 1</v>
      </c>
    </row>
    <row r="210">
      <c r="B210" s="27" t="s">
        <v>325</v>
      </c>
      <c r="C210" s="31" t="s">
        <v>138</v>
      </c>
      <c r="D210" s="27" t="s">
        <v>323</v>
      </c>
      <c r="E210" s="13" t="str">
        <f>HYPERLINK("https://youtu.be/hSyc2OjSykc?t=3949","channel 2")</f>
        <v>channel 2</v>
      </c>
    </row>
    <row r="211">
      <c r="B211" s="27" t="s">
        <v>323</v>
      </c>
      <c r="C211" s="31" t="s">
        <v>37</v>
      </c>
      <c r="D211" s="27" t="s">
        <v>321</v>
      </c>
      <c r="E211" s="13" t="str">
        <f>HYPERLINK("https://youtu.be/GEA5oYSNWjA?t=5081","channel 1")</f>
        <v>channel 1</v>
      </c>
    </row>
    <row r="212">
      <c r="B212" s="27" t="s">
        <v>325</v>
      </c>
      <c r="C212" s="31" t="s">
        <v>49</v>
      </c>
      <c r="D212" s="27" t="s">
        <v>324</v>
      </c>
      <c r="E212" s="13" t="str">
        <f>HYPERLINK("https://youtu.be/hSyc2OjSykc?t=4988","channel 2")</f>
        <v>channel 2</v>
      </c>
    </row>
    <row r="213">
      <c r="B213" s="27" t="s">
        <v>321</v>
      </c>
      <c r="C213" s="31" t="s">
        <v>311</v>
      </c>
      <c r="D213" s="27" t="s">
        <v>327</v>
      </c>
      <c r="E213" s="13" t="str">
        <f>HYPERLINK("https://youtu.be/GEA5oYSNWjA?t=6039","channel 1")</f>
        <v>channel 1</v>
      </c>
    </row>
    <row r="214">
      <c r="B214" s="27" t="s">
        <v>323</v>
      </c>
      <c r="C214" s="31" t="s">
        <v>90</v>
      </c>
      <c r="D214" s="27" t="s">
        <v>324</v>
      </c>
      <c r="E214" s="13" t="str">
        <f>HYPERLINK("https://youtu.be/hSyc2OjSykc?t=5936","channel 2")</f>
        <v>channel 2</v>
      </c>
    </row>
    <row r="215">
      <c r="B215" s="27" t="s">
        <v>325</v>
      </c>
      <c r="C215" s="31" t="s">
        <v>309</v>
      </c>
      <c r="D215" s="27" t="s">
        <v>327</v>
      </c>
      <c r="E215" s="13" t="str">
        <f>HYPERLINK("https://youtu.be/GEA5oYSNWjA?t=6940","channel 1")</f>
        <v>channel 1</v>
      </c>
    </row>
    <row r="216">
      <c r="B216" s="27" t="s">
        <v>321</v>
      </c>
      <c r="C216" s="31" t="s">
        <v>59</v>
      </c>
      <c r="D216" s="27" t="s">
        <v>324</v>
      </c>
      <c r="E216" s="13" t="str">
        <f>HYPERLINK("https://youtu.be/hSyc2OjSykc?t=6861","channel 2")</f>
        <v>channel 2</v>
      </c>
    </row>
    <row r="217">
      <c r="B217" s="27" t="s">
        <v>323</v>
      </c>
      <c r="C217" s="31" t="s">
        <v>338</v>
      </c>
      <c r="D217" s="27" t="s">
        <v>327</v>
      </c>
      <c r="E217" s="13" t="str">
        <f>HYPERLINK("https://youtu.be/GEA5oYSNWjA?t=7852","channel 1")</f>
        <v>channel 1</v>
      </c>
    </row>
    <row r="218">
      <c r="B218" s="27" t="s">
        <v>321</v>
      </c>
      <c r="C218" s="31" t="s">
        <v>339</v>
      </c>
      <c r="D218" s="27" t="s">
        <v>325</v>
      </c>
      <c r="E218" s="13" t="str">
        <f>HYPERLINK("https://youtu.be/hSyc2OjSykc?t=7770","channel 2")</f>
        <v>channel 2</v>
      </c>
    </row>
    <row r="219">
      <c r="B219" s="27" t="s">
        <v>324</v>
      </c>
      <c r="C219" s="31" t="s">
        <v>257</v>
      </c>
      <c r="D219" s="27" t="s">
        <v>327</v>
      </c>
      <c r="E219" s="13" t="str">
        <f>HYPERLINK("https://youtu.be/GEA5oYSNWjA?t=8861","channel 1")</f>
        <v>channel 1</v>
      </c>
    </row>
    <row r="220">
      <c r="B220" s="27" t="s">
        <v>323</v>
      </c>
      <c r="C220" s="31" t="s">
        <v>106</v>
      </c>
      <c r="D220" s="27" t="s">
        <v>325</v>
      </c>
      <c r="E220" s="13" t="str">
        <f>HYPERLINK("https://youtu.be/hSyc2OjSykc?t=8711","channel 2")</f>
        <v>channel 2</v>
      </c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6" t="s">
        <v>0</v>
      </c>
      <c r="C1" s="3"/>
      <c r="D1" s="4"/>
      <c r="E1" s="5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7</v>
      </c>
      <c r="C3" s="12" t="s">
        <v>11</v>
      </c>
      <c r="D3" s="10" t="s">
        <v>14</v>
      </c>
      <c r="E3" s="13" t="str">
        <f>HYPERLINK("https://youtu.be/gYvtwBq69IQ","channel 1")</f>
        <v>channel 1</v>
      </c>
    </row>
    <row r="4">
      <c r="A4" s="7"/>
      <c r="B4" s="10" t="s">
        <v>16</v>
      </c>
      <c r="C4" s="12" t="s">
        <v>18</v>
      </c>
      <c r="D4" s="10" t="s">
        <v>21</v>
      </c>
      <c r="E4" s="13" t="str">
        <f>HYPERLINK("https://youtu.be/TrFo_TkKBLI","channel 2")</f>
        <v>channel 2</v>
      </c>
    </row>
    <row r="5">
      <c r="A5" s="7"/>
      <c r="B5" s="10" t="s">
        <v>23</v>
      </c>
      <c r="C5" s="12" t="s">
        <v>24</v>
      </c>
      <c r="D5" s="10" t="s">
        <v>7</v>
      </c>
      <c r="E5" s="13" t="str">
        <f>HYPERLINK("https://youtu.be/gYvtwBq69IQ?t=861","channel 1")</f>
        <v>channel 1</v>
      </c>
    </row>
    <row r="6">
      <c r="A6" s="7"/>
      <c r="B6" s="10" t="s">
        <v>16</v>
      </c>
      <c r="C6" s="12" t="s">
        <v>27</v>
      </c>
      <c r="D6" s="10" t="s">
        <v>14</v>
      </c>
      <c r="E6" s="13" t="str">
        <f>HYPERLINK("https://youtu.be/TrFo_TkKBLI?t=967","channel 2")</f>
        <v>channel 2</v>
      </c>
    </row>
    <row r="7">
      <c r="A7" s="7"/>
      <c r="B7" s="10" t="s">
        <v>23</v>
      </c>
      <c r="C7" s="12" t="s">
        <v>31</v>
      </c>
      <c r="D7" s="10" t="s">
        <v>21</v>
      </c>
      <c r="E7" s="13" t="str">
        <f>HYPERLINK("https://youtu.be/gYvtwBq69IQ?t=1887","channel 1")</f>
        <v>channel 1</v>
      </c>
    </row>
    <row r="8">
      <c r="A8" s="7"/>
      <c r="B8" s="10" t="s">
        <v>16</v>
      </c>
      <c r="C8" s="12" t="s">
        <v>18</v>
      </c>
      <c r="D8" s="10" t="s">
        <v>7</v>
      </c>
      <c r="E8" s="13" t="str">
        <f>HYPERLINK("https://youtu.be/TrFo_TkKBLI?t=1943","channel 2")</f>
        <v>channel 2</v>
      </c>
    </row>
    <row r="9">
      <c r="A9" s="7"/>
      <c r="B9" s="10" t="s">
        <v>23</v>
      </c>
      <c r="C9" s="12" t="s">
        <v>33</v>
      </c>
      <c r="D9" s="10" t="s">
        <v>14</v>
      </c>
      <c r="E9" s="13" t="str">
        <f>HYPERLINK("https://youtu.be/gYvtwBq69IQ?t=2745","channel 1")</f>
        <v>channel 1</v>
      </c>
    </row>
    <row r="10">
      <c r="A10" s="7"/>
      <c r="B10" s="10" t="s">
        <v>21</v>
      </c>
      <c r="C10" s="12" t="s">
        <v>34</v>
      </c>
      <c r="D10" s="10" t="s">
        <v>7</v>
      </c>
      <c r="E10" s="13" t="str">
        <f>HYPERLINK("https://youtu.be/TrFo_TkKBLI?t=2854","channel 2")</f>
        <v>channel 2</v>
      </c>
    </row>
    <row r="11">
      <c r="A11" s="7"/>
      <c r="B11" s="10" t="s">
        <v>23</v>
      </c>
      <c r="C11" s="12" t="s">
        <v>36</v>
      </c>
      <c r="D11" s="10" t="s">
        <v>16</v>
      </c>
      <c r="E11" s="13" t="str">
        <f>HYPERLINK("https://youtu.be/gYvtwBq69IQ?t=3608","channel 1")</f>
        <v>channel 1</v>
      </c>
    </row>
    <row r="12">
      <c r="A12" s="7"/>
      <c r="B12" s="10" t="s">
        <v>21</v>
      </c>
      <c r="C12" s="12" t="s">
        <v>37</v>
      </c>
      <c r="D12" s="10" t="s">
        <v>14</v>
      </c>
      <c r="E12" s="13" t="str">
        <f>HYPERLINK("https://youtu.be/TrFo_TkKBLI?t=3721","channel 2")</f>
        <v>channel 2</v>
      </c>
    </row>
    <row r="13">
      <c r="A13" s="7"/>
      <c r="B13" s="10" t="s">
        <v>14</v>
      </c>
      <c r="C13" s="12" t="s">
        <v>39</v>
      </c>
      <c r="D13" s="10" t="s">
        <v>7</v>
      </c>
      <c r="E13" s="17" t="str">
        <f>HYPERLINK("https://youtu.be/gYvtwBq69IQ?t=4548","channel 1")</f>
        <v>channel 1</v>
      </c>
    </row>
    <row r="14">
      <c r="A14" s="7"/>
      <c r="B14" s="10" t="s">
        <v>21</v>
      </c>
      <c r="C14" s="18" t="s">
        <v>42</v>
      </c>
      <c r="D14" s="10" t="s">
        <v>16</v>
      </c>
      <c r="E14" s="13" t="str">
        <f>HYPERLINK("https://youtu.be/TrFo_TkKBLI?t=4588","channel 2")</f>
        <v>channel 2</v>
      </c>
    </row>
    <row r="15">
      <c r="A15" s="7"/>
      <c r="B15" s="10" t="s">
        <v>7</v>
      </c>
      <c r="C15" s="18" t="s">
        <v>45</v>
      </c>
      <c r="D15" s="10" t="s">
        <v>23</v>
      </c>
      <c r="E15" s="13" t="str">
        <f>HYPERLINK("https://youtu.be/j8dwPcYahek","channel 1")</f>
        <v>channel 1</v>
      </c>
    </row>
    <row r="16">
      <c r="A16" s="7"/>
      <c r="B16" s="10" t="s">
        <v>14</v>
      </c>
      <c r="C16" s="12" t="s">
        <v>46</v>
      </c>
      <c r="D16" s="10" t="s">
        <v>16</v>
      </c>
      <c r="E16" s="13" t="str">
        <f>HYPERLINK("https://youtu.be/KANbqNPdVoU","channel 2")</f>
        <v>channel 2</v>
      </c>
    </row>
    <row r="17">
      <c r="A17" s="7"/>
      <c r="B17" s="10" t="s">
        <v>21</v>
      </c>
      <c r="C17" s="12" t="s">
        <v>56</v>
      </c>
      <c r="D17" s="10" t="s">
        <v>23</v>
      </c>
      <c r="E17" s="13" t="str">
        <f>HYPERLINK("https://youtu.be/j8dwPcYahek?t=869","channel 1")</f>
        <v>channel 1</v>
      </c>
    </row>
    <row r="18">
      <c r="A18" s="7"/>
      <c r="B18" s="10" t="s">
        <v>7</v>
      </c>
      <c r="C18" s="12" t="s">
        <v>36</v>
      </c>
      <c r="D18" s="10" t="s">
        <v>16</v>
      </c>
      <c r="E18" s="13" t="str">
        <f>HYPERLINK("https://youtu.be/KANbqNPdVoU?t=894","channel 2")</f>
        <v>channel 2</v>
      </c>
    </row>
    <row r="19">
      <c r="A19" s="7"/>
      <c r="B19" s="10" t="s">
        <v>14</v>
      </c>
      <c r="C19" s="22" t="s">
        <v>58</v>
      </c>
      <c r="D19" s="10" t="s">
        <v>23</v>
      </c>
      <c r="E19" s="14" t="s">
        <v>26</v>
      </c>
    </row>
    <row r="20">
      <c r="A20" s="7"/>
      <c r="B20" s="10" t="s">
        <v>7</v>
      </c>
      <c r="C20" s="22" t="s">
        <v>58</v>
      </c>
      <c r="D20" s="10" t="s">
        <v>21</v>
      </c>
      <c r="E20" s="14" t="s">
        <v>28</v>
      </c>
    </row>
    <row r="21">
      <c r="A21" s="7"/>
      <c r="B21" s="10" t="s">
        <v>16</v>
      </c>
      <c r="C21" s="22" t="s">
        <v>58</v>
      </c>
      <c r="D21" s="10" t="s">
        <v>23</v>
      </c>
      <c r="E21" s="14" t="s">
        <v>26</v>
      </c>
    </row>
    <row r="22">
      <c r="A22" s="7"/>
      <c r="B22" s="10" t="s">
        <v>14</v>
      </c>
      <c r="C22" s="22" t="s">
        <v>58</v>
      </c>
      <c r="D22" s="10" t="s">
        <v>21</v>
      </c>
      <c r="E22" s="14" t="s">
        <v>28</v>
      </c>
    </row>
    <row r="23">
      <c r="A23" s="7"/>
      <c r="B23" s="6" t="s">
        <v>41</v>
      </c>
      <c r="C23" s="3"/>
      <c r="D23" s="4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75</v>
      </c>
      <c r="C25" s="12" t="s">
        <v>77</v>
      </c>
      <c r="D25" s="10" t="s">
        <v>78</v>
      </c>
      <c r="E25" s="13" t="str">
        <f>HYPERLINK("https://youtu.be/IK5usSnd414","channel 1")</f>
        <v>channel 1</v>
      </c>
    </row>
    <row r="26">
      <c r="A26" s="7"/>
      <c r="B26" s="10" t="s">
        <v>51</v>
      </c>
      <c r="C26" s="12" t="s">
        <v>10</v>
      </c>
      <c r="D26" s="10" t="s">
        <v>81</v>
      </c>
      <c r="E26" s="13" t="str">
        <f>HYPERLINK("https://youtu.be/axogPwES-G0","channel 2")</f>
        <v>channel 2</v>
      </c>
    </row>
    <row r="27">
      <c r="A27" s="7"/>
      <c r="B27" s="10" t="s">
        <v>83</v>
      </c>
      <c r="C27" s="12" t="s">
        <v>35</v>
      </c>
      <c r="D27" s="10" t="s">
        <v>75</v>
      </c>
      <c r="E27" s="13" t="str">
        <f>HYPERLINK("https://youtu.be/IK5usSnd414?t=935","channel 1")</f>
        <v>channel 1</v>
      </c>
    </row>
    <row r="28">
      <c r="A28" s="7"/>
      <c r="B28" s="10" t="s">
        <v>51</v>
      </c>
      <c r="C28" s="12" t="s">
        <v>84</v>
      </c>
      <c r="D28" s="10" t="s">
        <v>78</v>
      </c>
      <c r="E28" s="13" t="str">
        <f>HYPERLINK("https://youtu.be/axogPwES-G0?t=895","channel 2")</f>
        <v>channel 2</v>
      </c>
    </row>
    <row r="29">
      <c r="A29" s="7"/>
      <c r="B29" s="10" t="s">
        <v>83</v>
      </c>
      <c r="C29" s="12" t="s">
        <v>85</v>
      </c>
      <c r="D29" s="10" t="s">
        <v>81</v>
      </c>
      <c r="E29" s="13" t="str">
        <f>HYPERLINK("https://youtu.be/IK5usSnd414?t=1837","channel 1")</f>
        <v>channel 1</v>
      </c>
    </row>
    <row r="30">
      <c r="A30" s="7"/>
      <c r="B30" s="10" t="s">
        <v>51</v>
      </c>
      <c r="C30" s="12" t="s">
        <v>59</v>
      </c>
      <c r="D30" s="10" t="s">
        <v>75</v>
      </c>
      <c r="E30" s="13" t="str">
        <f>HYPERLINK("https://youtu.be/axogPwES-G0?t=1790","channel 2")</f>
        <v>channel 2</v>
      </c>
    </row>
    <row r="31">
      <c r="A31" s="7"/>
      <c r="B31" s="10" t="s">
        <v>83</v>
      </c>
      <c r="C31" s="12" t="s">
        <v>88</v>
      </c>
      <c r="D31" s="10" t="s">
        <v>78</v>
      </c>
      <c r="E31" s="13" t="str">
        <f>HYPERLINK("https://youtu.be/IK5usSnd414?t=2783","channel 1")</f>
        <v>channel 1</v>
      </c>
    </row>
    <row r="32">
      <c r="A32" s="7"/>
      <c r="B32" s="10" t="s">
        <v>81</v>
      </c>
      <c r="C32" s="12" t="s">
        <v>90</v>
      </c>
      <c r="D32" s="10" t="s">
        <v>75</v>
      </c>
      <c r="E32" s="13" t="str">
        <f>HYPERLINK("https://youtu.be/axogPwES-G0?t=2727","channel 2")</f>
        <v>channel 2</v>
      </c>
    </row>
    <row r="33">
      <c r="A33" s="7"/>
      <c r="B33" s="10" t="s">
        <v>83</v>
      </c>
      <c r="C33" s="12" t="s">
        <v>37</v>
      </c>
      <c r="D33" s="10" t="s">
        <v>51</v>
      </c>
      <c r="E33" s="13" t="str">
        <f>HYPERLINK("https://youtu.be/IK5usSnd414?t=3649","channel 1")</f>
        <v>channel 1</v>
      </c>
    </row>
    <row r="34">
      <c r="A34" s="7"/>
      <c r="B34" s="10" t="s">
        <v>81</v>
      </c>
      <c r="C34" s="12" t="s">
        <v>94</v>
      </c>
      <c r="D34" s="10" t="s">
        <v>78</v>
      </c>
      <c r="E34" s="13" t="str">
        <f>HYPERLINK("https://youtu.be/axogPwES-G0?t=3631","channel 2")</f>
        <v>channel 2</v>
      </c>
    </row>
    <row r="35">
      <c r="A35" s="7"/>
      <c r="B35" s="10" t="s">
        <v>78</v>
      </c>
      <c r="C35" s="12" t="s">
        <v>99</v>
      </c>
      <c r="D35" s="10" t="s">
        <v>75</v>
      </c>
      <c r="E35" s="13" t="str">
        <f>HYPERLINK("https://youtu.be/IK5usSnd414?t=4638","channel 1")</f>
        <v>channel 1</v>
      </c>
    </row>
    <row r="36">
      <c r="A36" s="7"/>
      <c r="B36" s="10" t="s">
        <v>81</v>
      </c>
      <c r="C36" s="12" t="s">
        <v>102</v>
      </c>
      <c r="D36" s="10" t="s">
        <v>51</v>
      </c>
      <c r="E36" s="13" t="str">
        <f>HYPERLINK("https://youtu.be/axogPwES-G0?t=4644","channel 2")</f>
        <v>channel 2</v>
      </c>
    </row>
    <row r="37">
      <c r="A37" s="7"/>
      <c r="B37" s="10" t="s">
        <v>75</v>
      </c>
      <c r="C37" s="12" t="s">
        <v>55</v>
      </c>
      <c r="D37" s="10" t="s">
        <v>83</v>
      </c>
      <c r="E37" s="13" t="str">
        <f>HYPERLINK("https://youtu.be/IK5usSnd414?t=5453","channel 1")</f>
        <v>channel 1</v>
      </c>
    </row>
    <row r="38">
      <c r="A38" s="7"/>
      <c r="B38" s="10" t="s">
        <v>78</v>
      </c>
      <c r="C38" s="12" t="s">
        <v>105</v>
      </c>
      <c r="D38" s="10" t="s">
        <v>51</v>
      </c>
      <c r="E38" s="13" t="str">
        <f>HYPERLINK("https://youtu.be/axogPwES-G0?t=5543","channel 2")</f>
        <v>channel 2</v>
      </c>
    </row>
    <row r="39">
      <c r="A39" s="7"/>
      <c r="B39" s="10" t="s">
        <v>81</v>
      </c>
      <c r="C39" s="18" t="s">
        <v>106</v>
      </c>
      <c r="D39" s="10" t="s">
        <v>83</v>
      </c>
      <c r="E39" s="13" t="str">
        <f>HYPERLINK("https://youtu.be/IK5usSnd414?t=6428","channel 1")</f>
        <v>channel 1</v>
      </c>
    </row>
    <row r="40">
      <c r="A40" s="7"/>
      <c r="B40" s="10" t="s">
        <v>75</v>
      </c>
      <c r="C40" s="12" t="s">
        <v>108</v>
      </c>
      <c r="D40" s="10" t="s">
        <v>51</v>
      </c>
      <c r="E40" s="13" t="str">
        <f>HYPERLINK("https://youtu.be/axogPwES-G0?t=6475","channel 2")</f>
        <v>channel 2</v>
      </c>
    </row>
    <row r="41">
      <c r="A41" s="7"/>
      <c r="B41" s="10" t="s">
        <v>78</v>
      </c>
      <c r="C41" s="12" t="s">
        <v>110</v>
      </c>
      <c r="D41" s="10" t="s">
        <v>83</v>
      </c>
      <c r="E41" s="13" t="str">
        <f>HYPERLINK("https://youtu.be/IK5usSnd414?t=7389","channel 1")</f>
        <v>channel 1</v>
      </c>
    </row>
    <row r="42">
      <c r="A42" s="7"/>
      <c r="B42" s="10" t="s">
        <v>75</v>
      </c>
      <c r="C42" s="12" t="s">
        <v>32</v>
      </c>
      <c r="D42" s="10" t="s">
        <v>81</v>
      </c>
      <c r="E42" s="13" t="str">
        <f>HYPERLINK("https://youtu.be/axogPwES-G0?t=7387","channel 2")</f>
        <v>channel 2</v>
      </c>
    </row>
    <row r="43">
      <c r="A43" s="7"/>
      <c r="B43" s="10" t="s">
        <v>51</v>
      </c>
      <c r="C43" s="12" t="s">
        <v>113</v>
      </c>
      <c r="D43" s="10" t="s">
        <v>83</v>
      </c>
      <c r="E43" s="13" t="str">
        <f>HYPERLINK("https://youtu.be/IK5usSnd414?t=8269","channel 1")</f>
        <v>channel 1</v>
      </c>
    </row>
    <row r="44">
      <c r="A44" s="7"/>
      <c r="B44" s="10" t="s">
        <v>78</v>
      </c>
      <c r="C44" s="12" t="s">
        <v>117</v>
      </c>
      <c r="D44" s="10" t="s">
        <v>81</v>
      </c>
      <c r="E44" s="13" t="str">
        <f>HYPERLINK("https://youtu.be/axogPwES-G0?t=8333","channel 2")</f>
        <v>channel 2</v>
      </c>
    </row>
    <row r="45">
      <c r="A45" s="7"/>
      <c r="B45" s="6" t="s">
        <v>121</v>
      </c>
      <c r="C45" s="3"/>
      <c r="D45" s="4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123</v>
      </c>
      <c r="C47" s="12" t="s">
        <v>124</v>
      </c>
      <c r="D47" s="10" t="s">
        <v>95</v>
      </c>
      <c r="E47" s="13" t="str">
        <f>HYPERLINK("https://youtu.be/Gt8f0Lpcrbw","channel 3")</f>
        <v>channel 3</v>
      </c>
    </row>
    <row r="48">
      <c r="A48" s="7"/>
      <c r="B48" s="10" t="s">
        <v>96</v>
      </c>
      <c r="C48" s="12" t="s">
        <v>127</v>
      </c>
      <c r="D48" s="10" t="s">
        <v>128</v>
      </c>
      <c r="E48" s="13" t="str">
        <f>HYPERLINK("https://youtu.be/qLTlyOHnbw4","channel 4")</f>
        <v>channel 4</v>
      </c>
    </row>
    <row r="49">
      <c r="A49" s="7"/>
      <c r="B49" s="10" t="s">
        <v>98</v>
      </c>
      <c r="C49" s="12" t="s">
        <v>46</v>
      </c>
      <c r="D49" s="10" t="s">
        <v>123</v>
      </c>
      <c r="E49" s="13" t="str">
        <f>HYPERLINK("https://youtu.be/Gt8f0Lpcrbw?t=905","channel 3")</f>
        <v>channel 3</v>
      </c>
    </row>
    <row r="50">
      <c r="A50" s="7"/>
      <c r="B50" s="10" t="s">
        <v>96</v>
      </c>
      <c r="C50" s="12" t="s">
        <v>133</v>
      </c>
      <c r="D50" s="10" t="s">
        <v>95</v>
      </c>
      <c r="E50" s="13" t="str">
        <f>HYPERLINK("https://youtu.be/qLTlyOHnbw4?t=1082","channel 4")</f>
        <v>channel 4</v>
      </c>
    </row>
    <row r="51">
      <c r="A51" s="7"/>
      <c r="B51" s="10" t="s">
        <v>98</v>
      </c>
      <c r="C51" s="12" t="s">
        <v>90</v>
      </c>
      <c r="D51" s="10" t="s">
        <v>128</v>
      </c>
      <c r="E51" s="13" t="str">
        <f>HYPERLINK("https://youtu.be/Gt8f0Lpcrbw?t=1795","channel 3")</f>
        <v>channel 3</v>
      </c>
    </row>
    <row r="52">
      <c r="A52" s="7"/>
      <c r="B52" s="10" t="s">
        <v>96</v>
      </c>
      <c r="C52" s="12" t="s">
        <v>30</v>
      </c>
      <c r="D52" s="10" t="s">
        <v>123</v>
      </c>
      <c r="E52" s="13" t="str">
        <f>HYPERLINK("https://youtu.be/qLTlyOHnbw4?t=2159","channel 4")</f>
        <v>channel 4</v>
      </c>
    </row>
    <row r="53">
      <c r="A53" s="7"/>
      <c r="B53" s="10" t="s">
        <v>98</v>
      </c>
      <c r="C53" s="12" t="s">
        <v>142</v>
      </c>
      <c r="D53" s="10" t="s">
        <v>95</v>
      </c>
      <c r="E53" s="13" t="str">
        <f>HYPERLINK("https://youtu.be/Gt8f0Lpcrbw?t=2743","channel 3")</f>
        <v>channel 3</v>
      </c>
    </row>
    <row r="54">
      <c r="A54" s="7"/>
      <c r="B54" s="10" t="s">
        <v>128</v>
      </c>
      <c r="C54" s="12" t="s">
        <v>143</v>
      </c>
      <c r="D54" s="10" t="s">
        <v>123</v>
      </c>
      <c r="E54" s="13" t="str">
        <f>HYPERLINK("https://youtu.be/qLTlyOHnbw4?t=3081","channel 4")</f>
        <v>channel 4</v>
      </c>
    </row>
    <row r="55">
      <c r="A55" s="7"/>
      <c r="B55" s="10" t="s">
        <v>98</v>
      </c>
      <c r="C55" s="12" t="s">
        <v>84</v>
      </c>
      <c r="D55" s="10" t="s">
        <v>96</v>
      </c>
      <c r="E55" s="13" t="str">
        <f>HYPERLINK("https://youtu.be/Gt8f0Lpcrbw?t=3624","channel 3")</f>
        <v>channel 3</v>
      </c>
    </row>
    <row r="56">
      <c r="A56" s="7"/>
      <c r="B56" s="10" t="s">
        <v>128</v>
      </c>
      <c r="C56" s="12" t="s">
        <v>144</v>
      </c>
      <c r="D56" s="10" t="s">
        <v>95</v>
      </c>
      <c r="E56" s="13" t="str">
        <f>HYPERLINK("https://youtu.be/qLTlyOHnbw4?t=4016","channel 4")</f>
        <v>channel 4</v>
      </c>
    </row>
    <row r="57">
      <c r="A57" s="7"/>
      <c r="B57" s="10" t="s">
        <v>95</v>
      </c>
      <c r="C57" s="12" t="s">
        <v>146</v>
      </c>
      <c r="D57" s="10" t="s">
        <v>123</v>
      </c>
      <c r="E57" s="13" t="str">
        <f>HYPERLINK("https://youtu.be/Gt8f0Lpcrbw?t=4875","channel 3")</f>
        <v>channel 3</v>
      </c>
    </row>
    <row r="58">
      <c r="A58" s="7"/>
      <c r="B58" s="10" t="s">
        <v>128</v>
      </c>
      <c r="C58" s="12" t="s">
        <v>30</v>
      </c>
      <c r="D58" s="10" t="s">
        <v>96</v>
      </c>
      <c r="E58" s="13" t="str">
        <f>HYPERLINK("https://youtu.be/qLTlyOHnbw4?t=4887","channel 4")</f>
        <v>channel 4</v>
      </c>
    </row>
    <row r="59">
      <c r="A59" s="7"/>
      <c r="B59" s="10" t="s">
        <v>123</v>
      </c>
      <c r="C59" s="12" t="s">
        <v>109</v>
      </c>
      <c r="D59" s="10" t="s">
        <v>98</v>
      </c>
      <c r="E59" s="13" t="str">
        <f>HYPERLINK("https://youtu.be/Gt8f0Lpcrbw?t=5794","channel 3")</f>
        <v>channel 3</v>
      </c>
    </row>
    <row r="60">
      <c r="A60" s="7"/>
      <c r="B60" s="10" t="s">
        <v>95</v>
      </c>
      <c r="C60" s="12" t="s">
        <v>110</v>
      </c>
      <c r="D60" s="10" t="s">
        <v>96</v>
      </c>
      <c r="E60" s="13" t="str">
        <f>HYPERLINK("https://youtu.be/qLTlyOHnbw4?t=5819","channel 4")</f>
        <v>channel 4</v>
      </c>
    </row>
    <row r="61">
      <c r="A61" s="7"/>
      <c r="B61" s="10" t="s">
        <v>128</v>
      </c>
      <c r="C61" s="12" t="s">
        <v>44</v>
      </c>
      <c r="D61" s="10" t="s">
        <v>98</v>
      </c>
      <c r="E61" s="13" t="str">
        <f>HYPERLINK("https://youtu.be/Gt8f0Lpcrbw?t=6661","channel 3")</f>
        <v>channel 3</v>
      </c>
    </row>
    <row r="62">
      <c r="A62" s="7"/>
      <c r="B62" s="10" t="s">
        <v>123</v>
      </c>
      <c r="C62" s="12" t="s">
        <v>156</v>
      </c>
      <c r="D62" s="10" t="s">
        <v>96</v>
      </c>
      <c r="E62" s="13" t="str">
        <f>HYPERLINK("https://youtu.be/qLTlyOHnbw4?t=6783","channel 4")</f>
        <v>channel 4</v>
      </c>
    </row>
    <row r="63">
      <c r="A63" s="7"/>
      <c r="B63" s="10" t="s">
        <v>95</v>
      </c>
      <c r="C63" s="12" t="s">
        <v>143</v>
      </c>
      <c r="D63" s="10" t="s">
        <v>98</v>
      </c>
      <c r="E63" s="13" t="str">
        <f>HYPERLINK("https://youtu.be/Gt8f0Lpcrbw?t=7561","channel 3")</f>
        <v>channel 3</v>
      </c>
    </row>
    <row r="64">
      <c r="A64" s="7"/>
      <c r="B64" s="10" t="s">
        <v>123</v>
      </c>
      <c r="C64" s="12" t="s">
        <v>20</v>
      </c>
      <c r="D64" s="10" t="s">
        <v>128</v>
      </c>
      <c r="E64" s="13" t="str">
        <f>HYPERLINK("https://youtu.be/qLTlyOHnbw4?t=7735","channel 4")</f>
        <v>channel 4</v>
      </c>
    </row>
    <row r="65">
      <c r="A65" s="7"/>
      <c r="B65" s="10" t="s">
        <v>96</v>
      </c>
      <c r="C65" s="12" t="s">
        <v>32</v>
      </c>
      <c r="D65" s="10" t="s">
        <v>98</v>
      </c>
      <c r="E65" s="13" t="str">
        <f>HYPERLINK("https://youtu.be/Gt8f0Lpcrbw?t=8479","channel 3")</f>
        <v>channel 3</v>
      </c>
    </row>
    <row r="66">
      <c r="A66" s="7"/>
      <c r="B66" s="10" t="s">
        <v>95</v>
      </c>
      <c r="C66" s="12" t="s">
        <v>163</v>
      </c>
      <c r="D66" s="10" t="s">
        <v>128</v>
      </c>
      <c r="E66" s="13" t="str">
        <f>HYPERLINK("https://youtu.be/qLTlyOHnbw4?t=8640","channel 4")</f>
        <v>channel 4</v>
      </c>
    </row>
    <row r="67">
      <c r="A67" s="7"/>
      <c r="B67" s="6" t="s">
        <v>170</v>
      </c>
      <c r="C67" s="3"/>
      <c r="D67" s="4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174</v>
      </c>
      <c r="C69" s="12" t="s">
        <v>168</v>
      </c>
      <c r="D69" s="10" t="s">
        <v>175</v>
      </c>
      <c r="E69" s="13" t="str">
        <f>HYPERLINK("https://youtu.be/roERpTpNTcY","channel 3")</f>
        <v>channel 3</v>
      </c>
    </row>
    <row r="70">
      <c r="A70" s="7"/>
      <c r="B70" s="10" t="s">
        <v>176</v>
      </c>
      <c r="C70" s="12" t="s">
        <v>49</v>
      </c>
      <c r="D70" s="10" t="s">
        <v>177</v>
      </c>
      <c r="E70" s="13" t="str">
        <f>HYPERLINK("https://youtu.be/SvOxPTo70v4","channel 4")</f>
        <v>channel 4</v>
      </c>
    </row>
    <row r="71">
      <c r="A71" s="7"/>
      <c r="B71" s="10" t="s">
        <v>178</v>
      </c>
      <c r="C71" s="12" t="s">
        <v>145</v>
      </c>
      <c r="D71" s="10" t="s">
        <v>174</v>
      </c>
      <c r="E71" s="13" t="str">
        <f>HYPERLINK("https://youtu.be/roERpTpNTcY?t=899","channel 3")</f>
        <v>channel 3</v>
      </c>
    </row>
    <row r="72">
      <c r="A72" s="7"/>
      <c r="B72" s="10" t="s">
        <v>176</v>
      </c>
      <c r="C72" s="12" t="s">
        <v>84</v>
      </c>
      <c r="D72" s="10" t="s">
        <v>175</v>
      </c>
      <c r="E72" s="13" t="str">
        <f>HYPERLINK("https://youtu.be/SvOxPTo70v4?t=1745","channel 4")</f>
        <v>channel 4</v>
      </c>
    </row>
    <row r="73">
      <c r="A73" s="7"/>
      <c r="B73" s="10" t="s">
        <v>178</v>
      </c>
      <c r="C73" s="12" t="s">
        <v>180</v>
      </c>
      <c r="D73" s="10" t="s">
        <v>177</v>
      </c>
      <c r="E73" s="13" t="str">
        <f>HYPERLINK("https://youtu.be/roERpTpNTcY?t=1771","channel 3")</f>
        <v>channel 3</v>
      </c>
    </row>
    <row r="74">
      <c r="A74" s="7"/>
      <c r="B74" s="10" t="s">
        <v>176</v>
      </c>
      <c r="C74" s="12" t="s">
        <v>184</v>
      </c>
      <c r="D74" s="10" t="s">
        <v>174</v>
      </c>
      <c r="E74" s="13" t="str">
        <f>HYPERLINK("https://youtu.be/SvOxPTo70v4?t=1933","channel 4")</f>
        <v>channel 4</v>
      </c>
    </row>
    <row r="75">
      <c r="A75" s="7"/>
      <c r="B75" s="10" t="s">
        <v>178</v>
      </c>
      <c r="C75" s="12" t="s">
        <v>84</v>
      </c>
      <c r="D75" s="10" t="s">
        <v>175</v>
      </c>
      <c r="E75" s="13" t="str">
        <f>HYPERLINK("https://youtu.be/roERpTpNTcY?t=2685","channel 3")</f>
        <v>channel 3</v>
      </c>
    </row>
    <row r="76">
      <c r="A76" s="7"/>
      <c r="B76" s="10" t="s">
        <v>177</v>
      </c>
      <c r="C76" s="12" t="s">
        <v>189</v>
      </c>
      <c r="D76" s="10" t="s">
        <v>174</v>
      </c>
      <c r="E76" s="13" t="str">
        <f>HYPERLINK("https://youtu.be/SvOxPTo70v4?t=2906","channel 4")</f>
        <v>channel 4</v>
      </c>
    </row>
    <row r="77">
      <c r="A77" s="7"/>
      <c r="B77" s="10" t="s">
        <v>178</v>
      </c>
      <c r="C77" s="12" t="s">
        <v>42</v>
      </c>
      <c r="D77" s="10" t="s">
        <v>176</v>
      </c>
      <c r="E77" s="13" t="str">
        <f>HYPERLINK("https://youtu.be/roERpTpNTcY?t=3602","channel 3")</f>
        <v>channel 3</v>
      </c>
    </row>
    <row r="78">
      <c r="A78" s="7"/>
      <c r="B78" s="10" t="s">
        <v>177</v>
      </c>
      <c r="C78" s="12" t="s">
        <v>191</v>
      </c>
      <c r="D78" s="10" t="s">
        <v>175</v>
      </c>
      <c r="E78" s="13" t="str">
        <f>HYPERLINK("https://youtu.be/SvOxPTo70v4?t=3843","channel 4")</f>
        <v>channel 4</v>
      </c>
    </row>
    <row r="79">
      <c r="A79" s="7"/>
      <c r="B79" s="10" t="s">
        <v>175</v>
      </c>
      <c r="C79" s="12" t="s">
        <v>192</v>
      </c>
      <c r="D79" s="10" t="s">
        <v>174</v>
      </c>
      <c r="E79" s="13" t="str">
        <f>HYPERLINK("https://youtu.be/roERpTpNTcY?t=4609","channel 3")</f>
        <v>channel 3</v>
      </c>
    </row>
    <row r="80">
      <c r="A80" s="7"/>
      <c r="B80" s="10" t="s">
        <v>177</v>
      </c>
      <c r="C80" s="12" t="s">
        <v>148</v>
      </c>
      <c r="D80" s="10" t="s">
        <v>176</v>
      </c>
      <c r="E80" s="13" t="str">
        <f>HYPERLINK("https://youtu.be/SvOxPTo70v4?t=4701","channel 4")</f>
        <v>channel 4</v>
      </c>
    </row>
    <row r="81">
      <c r="A81" s="7"/>
      <c r="B81" s="10" t="s">
        <v>174</v>
      </c>
      <c r="C81" s="12" t="s">
        <v>196</v>
      </c>
      <c r="D81" s="10" t="s">
        <v>178</v>
      </c>
      <c r="E81" s="13" t="str">
        <f>HYPERLINK("https://youtu.be/roERpTpNTcY?t=5501","channel 3")</f>
        <v>channel 3</v>
      </c>
    </row>
    <row r="82">
      <c r="A82" s="7"/>
      <c r="B82" s="10" t="s">
        <v>175</v>
      </c>
      <c r="C82" s="12" t="s">
        <v>30</v>
      </c>
      <c r="D82" s="10" t="s">
        <v>176</v>
      </c>
      <c r="E82" s="13" t="str">
        <f>HYPERLINK("https://youtu.be/SvOxPTo70v4?t=5546","channel 4")</f>
        <v>channel 4</v>
      </c>
    </row>
    <row r="83">
      <c r="A83" s="7"/>
      <c r="B83" s="10" t="s">
        <v>177</v>
      </c>
      <c r="C83" s="12" t="s">
        <v>148</v>
      </c>
      <c r="D83" s="10" t="s">
        <v>178</v>
      </c>
      <c r="E83" s="13" t="str">
        <f>HYPERLINK("https://youtu.be/roERpTpNTcY?t=6438","channel 3")</f>
        <v>channel 3</v>
      </c>
    </row>
    <row r="84">
      <c r="A84" s="7"/>
      <c r="B84" s="10" t="s">
        <v>174</v>
      </c>
      <c r="C84" s="12" t="s">
        <v>206</v>
      </c>
      <c r="D84" s="10" t="s">
        <v>176</v>
      </c>
      <c r="E84" s="13" t="str">
        <f>HYPERLINK("https://youtu.be/SvOxPTo70v4?t=6461","channel 4")</f>
        <v>channel 4</v>
      </c>
    </row>
    <row r="85">
      <c r="A85" s="7"/>
      <c r="B85" s="10" t="s">
        <v>175</v>
      </c>
      <c r="C85" s="12" t="s">
        <v>193</v>
      </c>
      <c r="D85" s="10" t="s">
        <v>178</v>
      </c>
      <c r="E85" s="13" t="str">
        <f>HYPERLINK("https://youtu.be/roERpTpNTcY?t=7333","channel 3")</f>
        <v>channel 3</v>
      </c>
    </row>
    <row r="86">
      <c r="A86" s="7"/>
      <c r="B86" s="10" t="s">
        <v>174</v>
      </c>
      <c r="C86" s="12" t="s">
        <v>24</v>
      </c>
      <c r="D86" s="10" t="s">
        <v>177</v>
      </c>
      <c r="E86" s="13" t="str">
        <f>HYPERLINK("https://youtu.be/SvOxPTo70v4?t=7471","channel 4")</f>
        <v>channel 4</v>
      </c>
    </row>
    <row r="87">
      <c r="A87" s="7"/>
      <c r="B87" s="10" t="s">
        <v>176</v>
      </c>
      <c r="C87" s="12" t="s">
        <v>212</v>
      </c>
      <c r="D87" s="10" t="s">
        <v>178</v>
      </c>
      <c r="E87" s="13" t="str">
        <f>HYPERLINK("https://youtu.be/roERpTpNTcY?t=8240","channel 3")</f>
        <v>channel 3</v>
      </c>
    </row>
    <row r="88">
      <c r="A88" s="7"/>
      <c r="B88" s="10" t="s">
        <v>175</v>
      </c>
      <c r="C88" s="12" t="s">
        <v>213</v>
      </c>
      <c r="D88" s="10" t="s">
        <v>177</v>
      </c>
      <c r="E88" s="13" t="str">
        <f>HYPERLINK("https://youtu.be/SvOxPTo70v4?t=8674","channel 4")</f>
        <v>channel 4</v>
      </c>
    </row>
    <row r="89">
      <c r="A89" s="7"/>
      <c r="B89" s="6" t="s">
        <v>112</v>
      </c>
      <c r="C89" s="3"/>
      <c r="D89" s="4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215</v>
      </c>
      <c r="C91" s="12" t="s">
        <v>216</v>
      </c>
      <c r="D91" s="10" t="s">
        <v>217</v>
      </c>
      <c r="E91" s="13" t="str">
        <f>HYPERLINK("https://youtu.be/rbP9hcNcK10","channel 1")</f>
        <v>channel 1</v>
      </c>
    </row>
    <row r="92">
      <c r="A92" s="7"/>
      <c r="B92" s="10" t="s">
        <v>220</v>
      </c>
      <c r="C92" s="12" t="s">
        <v>18</v>
      </c>
      <c r="D92" s="10" t="s">
        <v>221</v>
      </c>
      <c r="E92" s="13" t="str">
        <f>HYPERLINK("https://youtu.be/HgxKY0FFjbQ","channel 2")</f>
        <v>channel 2</v>
      </c>
    </row>
    <row r="93">
      <c r="A93" s="7"/>
      <c r="B93" s="10" t="s">
        <v>222</v>
      </c>
      <c r="C93" s="12" t="s">
        <v>223</v>
      </c>
      <c r="D93" s="10" t="s">
        <v>215</v>
      </c>
      <c r="E93" s="13" t="str">
        <f>HYPERLINK("https://youtu.be/rbP9hcNcK10?t=1110","channel 1")</f>
        <v>channel 1</v>
      </c>
    </row>
    <row r="94">
      <c r="A94" s="7"/>
      <c r="B94" s="10" t="s">
        <v>220</v>
      </c>
      <c r="C94" s="12" t="s">
        <v>40</v>
      </c>
      <c r="D94" s="10" t="s">
        <v>217</v>
      </c>
      <c r="E94" s="13" t="str">
        <f>HYPERLINK("https://youtu.be/HgxKY0FFjbQ?t=988","channel 2")</f>
        <v>channel 2</v>
      </c>
    </row>
    <row r="95">
      <c r="A95" s="7"/>
      <c r="B95" s="10" t="s">
        <v>222</v>
      </c>
      <c r="C95" s="12" t="s">
        <v>225</v>
      </c>
      <c r="D95" s="10" t="s">
        <v>221</v>
      </c>
      <c r="E95" s="13" t="str">
        <f>HYPERLINK("https://youtu.be/rbP9hcNcK10?t=2034","channel 1")</f>
        <v>channel 1</v>
      </c>
    </row>
    <row r="96">
      <c r="A96" s="7"/>
      <c r="B96" s="10" t="s">
        <v>220</v>
      </c>
      <c r="C96" s="12" t="s">
        <v>42</v>
      </c>
      <c r="D96" s="10" t="s">
        <v>215</v>
      </c>
      <c r="E96" s="13" t="str">
        <f>HYPERLINK("https://youtu.be/HgxKY0FFjbQ?t=1897","channel 2")</f>
        <v>channel 2</v>
      </c>
    </row>
    <row r="97">
      <c r="A97" s="7"/>
      <c r="B97" s="10" t="s">
        <v>222</v>
      </c>
      <c r="C97" s="12" t="s">
        <v>141</v>
      </c>
      <c r="D97" s="10" t="s">
        <v>217</v>
      </c>
      <c r="E97" s="13" t="str">
        <f>HYPERLINK("https://youtu.be/rbP9hcNcK10?t=3025","channel 1")</f>
        <v>channel 1</v>
      </c>
    </row>
    <row r="98">
      <c r="A98" s="7"/>
      <c r="B98" s="10" t="s">
        <v>221</v>
      </c>
      <c r="C98" s="12" t="s">
        <v>226</v>
      </c>
      <c r="D98" s="10" t="s">
        <v>215</v>
      </c>
      <c r="E98" s="13" t="str">
        <f>HYPERLINK("https://youtu.be/HgxKY0FFjbQ?t=2863","channel 2")</f>
        <v>channel 2</v>
      </c>
    </row>
    <row r="99">
      <c r="A99" s="7"/>
      <c r="B99" s="10" t="s">
        <v>222</v>
      </c>
      <c r="C99" s="12" t="s">
        <v>180</v>
      </c>
      <c r="D99" s="10" t="s">
        <v>220</v>
      </c>
      <c r="E99" s="13" t="str">
        <f>HYPERLINK("https://youtu.be/rbP9hcNcK10?t=3914","channel 1")</f>
        <v>channel 1</v>
      </c>
    </row>
    <row r="100">
      <c r="A100" s="7"/>
      <c r="B100" s="10" t="s">
        <v>221</v>
      </c>
      <c r="C100" s="12" t="s">
        <v>38</v>
      </c>
      <c r="D100" s="10" t="s">
        <v>217</v>
      </c>
      <c r="E100" s="13" t="str">
        <f>HYPERLINK("https://youtu.be/HgxKY0FFjbQ?t=3856","channel 2")</f>
        <v>channel 2</v>
      </c>
    </row>
    <row r="101">
      <c r="A101" s="7"/>
      <c r="B101" s="10" t="s">
        <v>217</v>
      </c>
      <c r="C101" s="12" t="s">
        <v>227</v>
      </c>
      <c r="D101" s="10" t="s">
        <v>215</v>
      </c>
      <c r="E101" s="13" t="str">
        <f>HYPERLINK("https://youtu.be/rbP9hcNcK10?t=4837","channel 1")</f>
        <v>channel 1</v>
      </c>
    </row>
    <row r="102">
      <c r="A102" s="7"/>
      <c r="B102" s="10" t="s">
        <v>221</v>
      </c>
      <c r="C102" s="12" t="s">
        <v>11</v>
      </c>
      <c r="D102" s="10" t="s">
        <v>220</v>
      </c>
      <c r="E102" s="13" t="str">
        <f>HYPERLINK("https://youtu.be/HgxKY0FFjbQ?t=4724","channel 2")</f>
        <v>channel 2</v>
      </c>
    </row>
    <row r="103">
      <c r="A103" s="7"/>
      <c r="B103" s="10" t="s">
        <v>215</v>
      </c>
      <c r="C103" s="12" t="s">
        <v>228</v>
      </c>
      <c r="D103" s="10" t="s">
        <v>222</v>
      </c>
      <c r="E103" s="13" t="str">
        <f>HYPERLINK("https://youtu.be/rbP9hcNcK10?t=5755","channel 1")</f>
        <v>channel 1</v>
      </c>
    </row>
    <row r="104">
      <c r="A104" s="7"/>
      <c r="B104" s="10" t="s">
        <v>217</v>
      </c>
      <c r="C104" s="12" t="s">
        <v>230</v>
      </c>
      <c r="D104" s="10" t="s">
        <v>220</v>
      </c>
      <c r="E104" s="13" t="str">
        <f>HYPERLINK("https://youtu.be/HgxKY0FFjbQ?t=5652","channel 2")</f>
        <v>channel 2</v>
      </c>
    </row>
    <row r="105">
      <c r="A105" s="7"/>
      <c r="B105" s="10" t="s">
        <v>221</v>
      </c>
      <c r="C105" s="12" t="s">
        <v>108</v>
      </c>
      <c r="D105" s="10" t="s">
        <v>222</v>
      </c>
      <c r="E105" s="13" t="str">
        <f>HYPERLINK("https://youtu.be/rbP9hcNcK10?t=6723","channel 1")</f>
        <v>channel 1</v>
      </c>
    </row>
    <row r="106">
      <c r="A106" s="7"/>
      <c r="B106" s="10" t="s">
        <v>215</v>
      </c>
      <c r="C106" s="12" t="s">
        <v>148</v>
      </c>
      <c r="D106" s="10" t="s">
        <v>220</v>
      </c>
      <c r="E106" s="13" t="str">
        <f>HYPERLINK("https://youtu.be/HgxKY0FFjbQ?t=6605","channel 2")</f>
        <v>channel 2</v>
      </c>
    </row>
    <row r="107">
      <c r="A107" s="7"/>
      <c r="B107" s="10" t="s">
        <v>217</v>
      </c>
      <c r="C107" s="12" t="s">
        <v>57</v>
      </c>
      <c r="D107" s="10" t="s">
        <v>222</v>
      </c>
      <c r="E107" s="13" t="str">
        <f>HYPERLINK("https://youtu.be/rbP9hcNcK10?t=7606","channel 1")</f>
        <v>channel 1</v>
      </c>
    </row>
    <row r="108">
      <c r="A108" s="7"/>
      <c r="B108" s="10" t="s">
        <v>215</v>
      </c>
      <c r="C108" s="12" t="s">
        <v>160</v>
      </c>
      <c r="D108" s="10" t="s">
        <v>221</v>
      </c>
      <c r="E108" s="13" t="str">
        <f>HYPERLINK("https://youtu.be/HgxKY0FFjbQ?t=7556","channel 2")</f>
        <v>channel 2</v>
      </c>
    </row>
    <row r="109">
      <c r="A109" s="7"/>
      <c r="B109" s="10" t="s">
        <v>220</v>
      </c>
      <c r="C109" s="12" t="s">
        <v>49</v>
      </c>
      <c r="D109" s="10" t="s">
        <v>222</v>
      </c>
      <c r="E109" s="13" t="str">
        <f>HYPERLINK("https://youtu.be/rbP9hcNcK10?t=8574","channel 1")</f>
        <v>channel 1</v>
      </c>
    </row>
    <row r="110">
      <c r="A110" s="7"/>
      <c r="B110" s="10" t="s">
        <v>217</v>
      </c>
      <c r="C110" s="12" t="s">
        <v>239</v>
      </c>
      <c r="D110" s="10" t="s">
        <v>221</v>
      </c>
      <c r="E110" s="13" t="str">
        <f>HYPERLINK("https://youtu.be/HgxKY0FFjbQ?t=8486","channel 2")</f>
        <v>channel 2</v>
      </c>
    </row>
    <row r="111">
      <c r="A111" s="7"/>
      <c r="B111" s="6" t="s">
        <v>240</v>
      </c>
      <c r="C111" s="3"/>
      <c r="D111" s="4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242</v>
      </c>
      <c r="C113" s="12" t="s">
        <v>216</v>
      </c>
      <c r="D113" s="10" t="s">
        <v>243</v>
      </c>
      <c r="E113" s="13" t="str">
        <f>HYPERLINK("https://youtu.be/sMkw_-wplSc","channel 1")</f>
        <v>channel 1</v>
      </c>
    </row>
    <row r="114">
      <c r="A114" s="7"/>
      <c r="B114" s="10" t="s">
        <v>245</v>
      </c>
      <c r="C114" s="12" t="s">
        <v>246</v>
      </c>
      <c r="D114" s="10" t="s">
        <v>247</v>
      </c>
      <c r="E114" s="13" t="str">
        <f>HYPERLINK("https://youtu.be/dKi4WzjhgAk","channel 2")</f>
        <v>channel 2</v>
      </c>
    </row>
    <row r="115">
      <c r="A115" s="7"/>
      <c r="B115" s="10" t="s">
        <v>248</v>
      </c>
      <c r="C115" s="12" t="s">
        <v>225</v>
      </c>
      <c r="D115" s="10" t="s">
        <v>242</v>
      </c>
      <c r="E115" s="13" t="str">
        <f>HYPERLINK("https://youtu.be/sMkw_-wplSc?t=1145","channel 1")</f>
        <v>channel 1</v>
      </c>
    </row>
    <row r="116">
      <c r="A116" s="7"/>
      <c r="B116" s="10" t="s">
        <v>245</v>
      </c>
      <c r="C116" s="12" t="s">
        <v>148</v>
      </c>
      <c r="D116" s="10" t="s">
        <v>243</v>
      </c>
      <c r="E116" s="13" t="str">
        <f>HYPERLINK("https://youtu.be/dKi4WzjhgAk?t=1036","channel 2")</f>
        <v>channel 2</v>
      </c>
    </row>
    <row r="117">
      <c r="A117" s="7"/>
      <c r="B117" s="10" t="s">
        <v>248</v>
      </c>
      <c r="C117" s="12" t="s">
        <v>61</v>
      </c>
      <c r="D117" s="10" t="s">
        <v>247</v>
      </c>
      <c r="E117" s="13" t="str">
        <f>HYPERLINK("https://youtu.be/sMkw_-wplSc?t=2170","channel 1")</f>
        <v>channel 1</v>
      </c>
    </row>
    <row r="118">
      <c r="A118" s="7"/>
      <c r="B118" s="10" t="s">
        <v>245</v>
      </c>
      <c r="C118" s="12" t="s">
        <v>251</v>
      </c>
      <c r="D118" s="10" t="s">
        <v>242</v>
      </c>
      <c r="E118" s="13" t="str">
        <f>HYPERLINK("https://youtu.be/dKi4WzjhgAk?t=2108","channel 2")</f>
        <v>channel 2</v>
      </c>
    </row>
    <row r="119">
      <c r="A119" s="7"/>
      <c r="B119" s="10" t="s">
        <v>248</v>
      </c>
      <c r="C119" s="12" t="s">
        <v>103</v>
      </c>
      <c r="D119" s="10" t="s">
        <v>243</v>
      </c>
      <c r="E119" s="13" t="str">
        <f>HYPERLINK("https://youtu.be/sMkw_-wplSc?t=3161","channel 1")</f>
        <v>channel 1</v>
      </c>
    </row>
    <row r="120">
      <c r="A120" s="7"/>
      <c r="B120" s="10" t="s">
        <v>247</v>
      </c>
      <c r="C120" s="12" t="s">
        <v>35</v>
      </c>
      <c r="D120" s="10" t="s">
        <v>242</v>
      </c>
      <c r="E120" s="13" t="str">
        <f>HYPERLINK("https://youtu.be/dKi4WzjhgAk?t=3048","channel 2")</f>
        <v>channel 2</v>
      </c>
    </row>
    <row r="121">
      <c r="A121" s="7"/>
      <c r="B121" s="10" t="s">
        <v>248</v>
      </c>
      <c r="C121" s="12" t="s">
        <v>255</v>
      </c>
      <c r="D121" s="10" t="s">
        <v>245</v>
      </c>
      <c r="E121" s="13" t="str">
        <f>HYPERLINK("https://youtu.be/sMkw_-wplSc?t=3950","channel 1")</f>
        <v>channel 1</v>
      </c>
    </row>
    <row r="122">
      <c r="A122" s="7"/>
      <c r="B122" s="10" t="s">
        <v>247</v>
      </c>
      <c r="C122" s="12" t="s">
        <v>99</v>
      </c>
      <c r="D122" s="10" t="s">
        <v>243</v>
      </c>
      <c r="E122" s="13" t="str">
        <f>HYPERLINK("https://youtu.be/dKi4WzjhgAk?t=3954","channel 2")</f>
        <v>channel 2</v>
      </c>
    </row>
    <row r="123">
      <c r="A123" s="7"/>
      <c r="B123" s="10" t="s">
        <v>243</v>
      </c>
      <c r="C123" s="12" t="s">
        <v>69</v>
      </c>
      <c r="D123" s="10" t="s">
        <v>242</v>
      </c>
      <c r="E123" s="13" t="str">
        <f>HYPERLINK("https://youtu.be/sMkw_-wplSc?t=4858","channel 1")</f>
        <v>channel 1</v>
      </c>
    </row>
    <row r="124">
      <c r="A124" s="7"/>
      <c r="B124" s="10" t="s">
        <v>247</v>
      </c>
      <c r="C124" s="12" t="s">
        <v>160</v>
      </c>
      <c r="D124" s="10" t="s">
        <v>245</v>
      </c>
      <c r="E124" s="13" t="str">
        <f>HYPERLINK("https://youtu.be/dKi4WzjhgAk?t=4912","channel 2")</f>
        <v>channel 2</v>
      </c>
    </row>
    <row r="125">
      <c r="A125" s="7"/>
      <c r="B125" s="10" t="s">
        <v>242</v>
      </c>
      <c r="C125" s="12" t="s">
        <v>34</v>
      </c>
      <c r="D125" s="10" t="s">
        <v>248</v>
      </c>
      <c r="E125" s="13" t="str">
        <f>HYPERLINK("https://youtu.be/sMkw_-wplSc?t=5791","channel 1")</f>
        <v>channel 1</v>
      </c>
    </row>
    <row r="126">
      <c r="A126" s="7"/>
      <c r="B126" s="10" t="s">
        <v>243</v>
      </c>
      <c r="C126" s="12" t="s">
        <v>160</v>
      </c>
      <c r="D126" s="10" t="s">
        <v>245</v>
      </c>
      <c r="E126" s="13" t="str">
        <f>HYPERLINK("https://youtu.be/dKi4WzjhgAk?t=5848","channel 2")</f>
        <v>channel 2</v>
      </c>
    </row>
    <row r="127">
      <c r="A127" s="7"/>
      <c r="B127" s="10" t="s">
        <v>247</v>
      </c>
      <c r="C127" s="12" t="s">
        <v>42</v>
      </c>
      <c r="D127" s="10" t="s">
        <v>248</v>
      </c>
      <c r="E127" s="13" t="str">
        <f>HYPERLINK("https://youtu.be/sMkw_-wplSc?t=6772","channel 1")</f>
        <v>channel 1</v>
      </c>
    </row>
    <row r="128">
      <c r="A128" s="7"/>
      <c r="B128" s="10" t="s">
        <v>242</v>
      </c>
      <c r="C128" s="12" t="s">
        <v>105</v>
      </c>
      <c r="D128" s="10" t="s">
        <v>245</v>
      </c>
      <c r="E128" s="13" t="str">
        <f>HYPERLINK("https://youtu.be/dKi4WzjhgAk?t=6766","channel 2")</f>
        <v>channel 2</v>
      </c>
    </row>
    <row r="129">
      <c r="A129" s="7"/>
      <c r="B129" s="10" t="s">
        <v>243</v>
      </c>
      <c r="C129" s="12" t="s">
        <v>232</v>
      </c>
      <c r="D129" s="10" t="s">
        <v>248</v>
      </c>
      <c r="E129" s="13" t="str">
        <f>HYPERLINK("https://youtu.be/sMkw_-wplSc?t=7692","channel 1")</f>
        <v>channel 1</v>
      </c>
    </row>
    <row r="130">
      <c r="A130" s="7"/>
      <c r="B130" s="10" t="s">
        <v>242</v>
      </c>
      <c r="C130" s="12" t="s">
        <v>241</v>
      </c>
      <c r="D130" s="10" t="s">
        <v>247</v>
      </c>
      <c r="E130" s="13" t="str">
        <f>HYPERLINK("https://youtu.be/dKi4WzjhgAk?t=7728","channel 2")</f>
        <v>channel 2</v>
      </c>
    </row>
    <row r="131">
      <c r="A131" s="7"/>
      <c r="B131" s="10" t="s">
        <v>245</v>
      </c>
      <c r="C131" s="12" t="s">
        <v>259</v>
      </c>
      <c r="D131" s="10" t="s">
        <v>248</v>
      </c>
      <c r="E131" s="13" t="str">
        <f>HYPERLINK("https://youtu.be/sMkw_-wplSc?t=8559","channel 1")</f>
        <v>channel 1</v>
      </c>
    </row>
    <row r="132">
      <c r="A132" s="25"/>
      <c r="B132" s="10" t="s">
        <v>243</v>
      </c>
      <c r="C132" s="12" t="s">
        <v>261</v>
      </c>
      <c r="D132" s="10" t="s">
        <v>247</v>
      </c>
      <c r="E132" s="13" t="str">
        <f>HYPERLINK("https://youtu.be/dKi4WzjhgAk?t=8659","channel 2")</f>
        <v>channel 2</v>
      </c>
    </row>
    <row r="133">
      <c r="B133" s="30" t="s">
        <v>252</v>
      </c>
      <c r="C133" s="3"/>
      <c r="D133" s="4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262</v>
      </c>
      <c r="C135" s="12" t="s">
        <v>109</v>
      </c>
      <c r="D135" s="27" t="s">
        <v>263</v>
      </c>
      <c r="E135" s="13" t="str">
        <f>HYPERLINK("https://youtu.be/LDYZ6snU15I","channel 3")</f>
        <v>channel 3</v>
      </c>
    </row>
    <row r="136">
      <c r="B136" s="27" t="s">
        <v>264</v>
      </c>
      <c r="C136" s="12" t="s">
        <v>265</v>
      </c>
      <c r="D136" s="27" t="s">
        <v>266</v>
      </c>
      <c r="E136" s="13" t="str">
        <f>HYPERLINK("https://youtu.be/2Wz-Lsr6EYM","channel 4")</f>
        <v>channel 4</v>
      </c>
    </row>
    <row r="137">
      <c r="B137" s="27" t="s">
        <v>267</v>
      </c>
      <c r="C137" s="12" t="s">
        <v>47</v>
      </c>
      <c r="D137" s="27" t="s">
        <v>262</v>
      </c>
      <c r="E137" s="13" t="str">
        <f>HYPERLINK("https://youtu.be/LDYZ6snU15I?t=895","channel 3")</f>
        <v>channel 3</v>
      </c>
    </row>
    <row r="138">
      <c r="B138" s="27" t="s">
        <v>264</v>
      </c>
      <c r="C138" s="12" t="s">
        <v>47</v>
      </c>
      <c r="D138" s="27" t="s">
        <v>263</v>
      </c>
      <c r="E138" s="13" t="str">
        <f>HYPERLINK("https://youtu.be/2Wz-Lsr6EYM?t=1329","channel 4")</f>
        <v>channel 4</v>
      </c>
    </row>
    <row r="139">
      <c r="B139" s="27" t="s">
        <v>267</v>
      </c>
      <c r="C139" s="12" t="s">
        <v>135</v>
      </c>
      <c r="D139" s="27" t="s">
        <v>266</v>
      </c>
      <c r="E139" s="13" t="str">
        <f>HYPERLINK("https://youtu.be/LDYZ6snU15I?t=1839","channel 3")</f>
        <v>channel 3</v>
      </c>
    </row>
    <row r="140">
      <c r="B140" s="27" t="s">
        <v>264</v>
      </c>
      <c r="C140" s="12" t="s">
        <v>268</v>
      </c>
      <c r="D140" s="27" t="s">
        <v>262</v>
      </c>
      <c r="E140" s="13" t="str">
        <f>HYPERLINK("https://youtu.be/2Wz-Lsr6EYM?t=2196","channel 4")</f>
        <v>channel 4</v>
      </c>
    </row>
    <row r="141">
      <c r="B141" s="27" t="s">
        <v>267</v>
      </c>
      <c r="C141" s="12" t="s">
        <v>74</v>
      </c>
      <c r="D141" s="27" t="s">
        <v>263</v>
      </c>
      <c r="E141" s="13" t="str">
        <f>HYPERLINK("https://youtu.be/LDYZ6snU15I?t=2743","channel 3")</f>
        <v>channel 3</v>
      </c>
    </row>
    <row r="142">
      <c r="B142" s="27" t="s">
        <v>266</v>
      </c>
      <c r="C142" s="12" t="s">
        <v>272</v>
      </c>
      <c r="D142" s="27" t="s">
        <v>262</v>
      </c>
      <c r="E142" s="13" t="str">
        <f>HYPERLINK("https://youtu.be/2Wz-Lsr6EYM?t=3080","channel 4")</f>
        <v>channel 4</v>
      </c>
    </row>
    <row r="143">
      <c r="B143" s="27" t="s">
        <v>267</v>
      </c>
      <c r="C143" s="12" t="s">
        <v>32</v>
      </c>
      <c r="D143" s="27" t="s">
        <v>264</v>
      </c>
      <c r="E143" s="13" t="str">
        <f>HYPERLINK("https://youtu.be/LDYZ6snU15I?t=3886","channel 3")</f>
        <v>channel 3</v>
      </c>
    </row>
    <row r="144">
      <c r="B144" s="27" t="s">
        <v>266</v>
      </c>
      <c r="C144" s="12" t="s">
        <v>138</v>
      </c>
      <c r="D144" s="27" t="s">
        <v>263</v>
      </c>
      <c r="E144" s="13" t="str">
        <f>HYPERLINK("https://youtu.be/2Wz-Lsr6EYM?t=3929","channel 4")</f>
        <v>channel 4</v>
      </c>
    </row>
    <row r="145">
      <c r="B145" s="27" t="s">
        <v>263</v>
      </c>
      <c r="C145" s="12" t="s">
        <v>277</v>
      </c>
      <c r="D145" s="27" t="s">
        <v>262</v>
      </c>
      <c r="E145" s="13" t="str">
        <f>HYPERLINK("https://youtu.be/LDYZ6snU15I?t=4957","channel 3")</f>
        <v>channel 3</v>
      </c>
    </row>
    <row r="146">
      <c r="B146" s="27" t="s">
        <v>266</v>
      </c>
      <c r="C146" s="12" t="s">
        <v>103</v>
      </c>
      <c r="D146" s="27" t="s">
        <v>264</v>
      </c>
      <c r="E146" s="13" t="str">
        <f>HYPERLINK("https://youtu.be/2Wz-Lsr6EYM?t=4952","channel 4")</f>
        <v>channel 4</v>
      </c>
    </row>
    <row r="147">
      <c r="B147" s="27" t="s">
        <v>262</v>
      </c>
      <c r="C147" s="12" t="s">
        <v>36</v>
      </c>
      <c r="D147" s="27" t="s">
        <v>267</v>
      </c>
      <c r="E147" s="13" t="str">
        <f>HYPERLINK("https://youtu.be/LDYZ6snU15I?t=5861","channel 3")</f>
        <v>channel 3</v>
      </c>
    </row>
    <row r="148">
      <c r="B148" s="27" t="s">
        <v>263</v>
      </c>
      <c r="C148" s="12" t="s">
        <v>37</v>
      </c>
      <c r="D148" s="27" t="s">
        <v>264</v>
      </c>
      <c r="E148" s="13" t="str">
        <f>HYPERLINK("https://youtu.be/2Wz-Lsr6EYM?t=5843","channel 4")</f>
        <v>channel 4</v>
      </c>
    </row>
    <row r="149">
      <c r="B149" s="27" t="s">
        <v>266</v>
      </c>
      <c r="C149" s="12" t="s">
        <v>194</v>
      </c>
      <c r="D149" s="27" t="s">
        <v>267</v>
      </c>
      <c r="E149" s="13" t="str">
        <f>HYPERLINK("https://youtu.be/LDYZ6snU15I?t=6775","channel 3")</f>
        <v>channel 3</v>
      </c>
    </row>
    <row r="150">
      <c r="B150" s="27" t="s">
        <v>262</v>
      </c>
      <c r="C150" s="12" t="s">
        <v>84</v>
      </c>
      <c r="D150" s="27" t="s">
        <v>264</v>
      </c>
      <c r="E150" s="13" t="str">
        <f>HYPERLINK("https://youtu.be/2Wz-Lsr6EYM?t=5843","channel 4")</f>
        <v>channel 4</v>
      </c>
    </row>
    <row r="151">
      <c r="B151" s="27" t="s">
        <v>263</v>
      </c>
      <c r="C151" s="12" t="s">
        <v>194</v>
      </c>
      <c r="D151" s="27" t="s">
        <v>267</v>
      </c>
      <c r="E151" s="13" t="str">
        <f>HYPERLINK("https://youtu.be/LDYZ6snU15I?t=7644","channel 3")</f>
        <v>channel 3</v>
      </c>
    </row>
    <row r="152">
      <c r="B152" s="27" t="s">
        <v>262</v>
      </c>
      <c r="C152" s="12" t="s">
        <v>142</v>
      </c>
      <c r="D152" s="27" t="s">
        <v>266</v>
      </c>
      <c r="E152" s="13" t="str">
        <f>HYPERLINK("https://youtu.be/2Wz-Lsr6EYM?t=7693","channel 4")</f>
        <v>channel 4</v>
      </c>
    </row>
    <row r="153">
      <c r="B153" s="27" t="s">
        <v>264</v>
      </c>
      <c r="C153" s="12" t="s">
        <v>160</v>
      </c>
      <c r="D153" s="27" t="s">
        <v>267</v>
      </c>
      <c r="E153" s="13" t="str">
        <f>HYPERLINK("https://youtu.be/LDYZ6snU15I?t=8499","channel 3")</f>
        <v>channel 3</v>
      </c>
    </row>
    <row r="154">
      <c r="B154" s="27" t="s">
        <v>263</v>
      </c>
      <c r="C154" s="12" t="s">
        <v>59</v>
      </c>
      <c r="D154" s="27" t="s">
        <v>266</v>
      </c>
      <c r="E154" s="13" t="str">
        <f>HYPERLINK("https://youtu.be/2Wz-Lsr6EYM?t=8559","channel 4")</f>
        <v>channel 4</v>
      </c>
    </row>
    <row r="155">
      <c r="B155" s="30" t="s">
        <v>165</v>
      </c>
      <c r="C155" s="3"/>
      <c r="D155" s="4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282</v>
      </c>
      <c r="C157" s="12" t="s">
        <v>138</v>
      </c>
      <c r="D157" s="27" t="s">
        <v>284</v>
      </c>
      <c r="E157" s="13" t="str">
        <f>HYPERLINK("https://youtu.be/STNgUVQg8J8","channel 3")</f>
        <v>channel 3</v>
      </c>
    </row>
    <row r="158">
      <c r="B158" s="27" t="s">
        <v>286</v>
      </c>
      <c r="C158" s="12" t="s">
        <v>142</v>
      </c>
      <c r="D158" s="27" t="s">
        <v>288</v>
      </c>
      <c r="E158" s="13" t="str">
        <f>HYPERLINK("https://youtu.be/wZ0aM98ah1Q","channel 4")</f>
        <v>channel 4</v>
      </c>
    </row>
    <row r="159">
      <c r="B159" s="27" t="s">
        <v>291</v>
      </c>
      <c r="C159" s="12" t="s">
        <v>97</v>
      </c>
      <c r="D159" s="27" t="s">
        <v>282</v>
      </c>
      <c r="E159" s="13" t="str">
        <f>HYPERLINK("https://youtu.be/STNgUVQg8J8?t=959","channel 3")</f>
        <v>channel 3</v>
      </c>
    </row>
    <row r="160">
      <c r="B160" s="27" t="s">
        <v>286</v>
      </c>
      <c r="C160" s="12" t="s">
        <v>138</v>
      </c>
      <c r="D160" s="27" t="s">
        <v>284</v>
      </c>
      <c r="E160" s="13" t="str">
        <f>HYPERLINK("https://youtu.be/wZ0aM98ah1Q?t=972","channel 4")</f>
        <v>channel 4</v>
      </c>
    </row>
    <row r="161">
      <c r="B161" s="27" t="s">
        <v>291</v>
      </c>
      <c r="C161" s="12" t="s">
        <v>84</v>
      </c>
      <c r="D161" s="27" t="s">
        <v>288</v>
      </c>
      <c r="E161" s="13" t="str">
        <f>HYPERLINK("https://youtu.be/STNgUVQg8J8?t=1882","channel 3")</f>
        <v>channel 3</v>
      </c>
    </row>
    <row r="162">
      <c r="B162" s="27" t="s">
        <v>286</v>
      </c>
      <c r="C162" s="12" t="s">
        <v>296</v>
      </c>
      <c r="D162" s="27" t="s">
        <v>282</v>
      </c>
      <c r="E162" s="13" t="str">
        <f>HYPERLINK("https://youtu.be/wZ0aM98ah1Q?t=1884","channel 4")</f>
        <v>channel 4</v>
      </c>
    </row>
    <row r="163">
      <c r="B163" s="27" t="s">
        <v>291</v>
      </c>
      <c r="C163" s="12" t="s">
        <v>257</v>
      </c>
      <c r="D163" s="27" t="s">
        <v>284</v>
      </c>
      <c r="E163" s="13" t="str">
        <f>HYPERLINK("https://youtu.be/STNgUVQg8J8?t=2793","channel 3")</f>
        <v>channel 3</v>
      </c>
    </row>
    <row r="164">
      <c r="B164" s="27" t="s">
        <v>288</v>
      </c>
      <c r="C164" s="12" t="s">
        <v>93</v>
      </c>
      <c r="D164" s="27" t="s">
        <v>282</v>
      </c>
      <c r="E164" s="13" t="str">
        <f>HYPERLINK("https://youtu.be/wZ0aM98ah1Q?t=2786","channel 4")</f>
        <v>channel 4</v>
      </c>
    </row>
    <row r="165">
      <c r="B165" s="27" t="s">
        <v>291</v>
      </c>
      <c r="C165" s="12" t="s">
        <v>145</v>
      </c>
      <c r="D165" s="27" t="s">
        <v>286</v>
      </c>
      <c r="E165" s="13" t="str">
        <f>HYPERLINK("https://youtu.be/STNgUVQg8J8?t=3702","channel 3")</f>
        <v>channel 3</v>
      </c>
    </row>
    <row r="166">
      <c r="B166" s="27" t="s">
        <v>288</v>
      </c>
      <c r="C166" s="12" t="s">
        <v>10</v>
      </c>
      <c r="D166" s="27" t="s">
        <v>284</v>
      </c>
      <c r="E166" s="13" t="str">
        <f>HYPERLINK("https://youtu.be/wZ0aM98ah1Q?t=3685","channel 4")</f>
        <v>channel 4</v>
      </c>
    </row>
    <row r="167">
      <c r="B167" s="27" t="s">
        <v>284</v>
      </c>
      <c r="C167" s="12" t="s">
        <v>117</v>
      </c>
      <c r="D167" s="27" t="s">
        <v>282</v>
      </c>
      <c r="E167" s="13" t="str">
        <f>HYPERLINK("https://youtu.be/STNgUVQg8J8?t=4696","channel 3")</f>
        <v>channel 3</v>
      </c>
    </row>
    <row r="168">
      <c r="B168" s="27" t="s">
        <v>288</v>
      </c>
      <c r="C168" s="12" t="s">
        <v>97</v>
      </c>
      <c r="D168" s="27" t="s">
        <v>286</v>
      </c>
      <c r="E168" s="13" t="str">
        <f>HYPERLINK("https://youtu.be/wZ0aM98ah1Q?t=4660","channel 4")</f>
        <v>channel 4</v>
      </c>
    </row>
    <row r="169">
      <c r="B169" s="27" t="s">
        <v>282</v>
      </c>
      <c r="C169" s="12" t="s">
        <v>109</v>
      </c>
      <c r="D169" s="27" t="s">
        <v>291</v>
      </c>
      <c r="E169" s="13" t="str">
        <f>HYPERLINK("https://youtu.be/STNgUVQg8J8?t=5692","channel 3")</f>
        <v>channel 3</v>
      </c>
    </row>
    <row r="170">
      <c r="B170" s="27" t="s">
        <v>284</v>
      </c>
      <c r="C170" s="12" t="s">
        <v>108</v>
      </c>
      <c r="D170" s="27" t="s">
        <v>286</v>
      </c>
      <c r="E170" s="13" t="str">
        <f>HYPERLINK("https://youtu.be/wZ0aM98ah1Q?t=5641","channel 4")</f>
        <v>channel 4</v>
      </c>
    </row>
    <row r="171">
      <c r="B171" s="27" t="s">
        <v>288</v>
      </c>
      <c r="C171" s="12" t="s">
        <v>103</v>
      </c>
      <c r="D171" s="27" t="s">
        <v>291</v>
      </c>
      <c r="E171" s="13" t="str">
        <f>HYPERLINK("https://youtu.be/STNgUVQg8J8?t=6763","channel 3")</f>
        <v>channel 3</v>
      </c>
    </row>
    <row r="172">
      <c r="B172" s="27" t="s">
        <v>282</v>
      </c>
      <c r="C172" s="12" t="s">
        <v>141</v>
      </c>
      <c r="D172" s="27" t="s">
        <v>286</v>
      </c>
      <c r="E172" s="13" t="str">
        <f>HYPERLINK("https://youtu.be/wZ0aM98ah1Q?t=6658","channel 4")</f>
        <v>channel 4</v>
      </c>
    </row>
    <row r="173">
      <c r="B173" s="27" t="s">
        <v>284</v>
      </c>
      <c r="C173" s="12" t="s">
        <v>106</v>
      </c>
      <c r="D173" s="27" t="s">
        <v>291</v>
      </c>
      <c r="E173" s="13" t="str">
        <f>HYPERLINK("https://youtu.be/STNgUVQg8J8?t=7709","channel 3")</f>
        <v>channel 3</v>
      </c>
    </row>
    <row r="174">
      <c r="B174" s="27" t="s">
        <v>282</v>
      </c>
      <c r="C174" s="12" t="s">
        <v>308</v>
      </c>
      <c r="D174" s="27" t="s">
        <v>288</v>
      </c>
      <c r="E174" s="13" t="str">
        <f>HYPERLINK("https://youtu.be/wZ0aM98ah1Q?t=7721","channel 4")</f>
        <v>channel 4</v>
      </c>
    </row>
    <row r="175">
      <c r="B175" s="27" t="s">
        <v>286</v>
      </c>
      <c r="C175" s="12" t="s">
        <v>148</v>
      </c>
      <c r="D175" s="27" t="s">
        <v>291</v>
      </c>
      <c r="E175" s="13" t="str">
        <f>HYPERLINK("https://youtu.be/STNgUVQg8J8?t=8679","channel 3")</f>
        <v>channel 3</v>
      </c>
    </row>
    <row r="176">
      <c r="B176" s="27" t="s">
        <v>284</v>
      </c>
      <c r="C176" s="12" t="s">
        <v>213</v>
      </c>
      <c r="D176" s="27" t="s">
        <v>288</v>
      </c>
      <c r="E176" s="13" t="str">
        <f>HYPERLINK("https://youtu.be/wZ0aM98ah1Q?t=8694","channel 4")</f>
        <v>channel 4</v>
      </c>
    </row>
    <row r="177">
      <c r="B177" s="30" t="s">
        <v>181</v>
      </c>
      <c r="C177" s="3"/>
      <c r="D177" s="4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312</v>
      </c>
      <c r="C179" s="12" t="s">
        <v>20</v>
      </c>
      <c r="D179" s="27" t="s">
        <v>313</v>
      </c>
      <c r="E179" s="13" t="str">
        <f>HYPERLINK("https://youtu.be/EdMwpWVfid4","channel 1")</f>
        <v>channel 1</v>
      </c>
    </row>
    <row r="180">
      <c r="B180" s="27" t="s">
        <v>314</v>
      </c>
      <c r="C180" s="12" t="s">
        <v>37</v>
      </c>
      <c r="D180" s="27" t="s">
        <v>315</v>
      </c>
      <c r="E180" s="13" t="str">
        <f>HYPERLINK("https://youtu.be/6384diPPYU4","channel 2")</f>
        <v>channel 2</v>
      </c>
    </row>
    <row r="181">
      <c r="B181" s="27" t="s">
        <v>317</v>
      </c>
      <c r="C181" s="12" t="s">
        <v>319</v>
      </c>
      <c r="D181" s="27" t="s">
        <v>312</v>
      </c>
      <c r="E181" s="13" t="str">
        <f>HYPERLINK("https://youtu.be/EdMwpWVfid4?t=2466","channel 1")</f>
        <v>channel 1</v>
      </c>
    </row>
    <row r="182">
      <c r="B182" s="27" t="s">
        <v>314</v>
      </c>
      <c r="C182" s="12" t="s">
        <v>90</v>
      </c>
      <c r="D182" s="27" t="s">
        <v>313</v>
      </c>
      <c r="E182" s="13" t="str">
        <f>HYPERLINK("https://youtu.be/6384diPPYU4?t=2319","channel 2")</f>
        <v>channel 2</v>
      </c>
    </row>
    <row r="183">
      <c r="B183" s="27" t="s">
        <v>317</v>
      </c>
      <c r="C183" s="12" t="s">
        <v>146</v>
      </c>
      <c r="D183" s="27" t="s">
        <v>315</v>
      </c>
      <c r="E183" s="13" t="str">
        <f>HYPERLINK("https://youtu.be/EdMwpWVfid4?t=3329","channel 1")</f>
        <v>channel 1</v>
      </c>
    </row>
    <row r="184">
      <c r="B184" s="27" t="s">
        <v>314</v>
      </c>
      <c r="C184" s="12" t="s">
        <v>47</v>
      </c>
      <c r="D184" s="27" t="s">
        <v>312</v>
      </c>
      <c r="E184" s="13" t="str">
        <f>HYPERLINK("https://youtu.be/6384diPPYU4?t=3271","channel 2")</f>
        <v>channel 2</v>
      </c>
    </row>
    <row r="185">
      <c r="B185" s="27" t="s">
        <v>317</v>
      </c>
      <c r="C185" s="12" t="s">
        <v>326</v>
      </c>
      <c r="D185" s="27" t="s">
        <v>313</v>
      </c>
      <c r="E185" s="13" t="str">
        <f>HYPERLINK("https://youtu.be/EdMwpWVfid4?t=4198","channel 1")</f>
        <v>channel 1</v>
      </c>
    </row>
    <row r="186">
      <c r="B186" s="27" t="s">
        <v>315</v>
      </c>
      <c r="C186" s="12" t="s">
        <v>278</v>
      </c>
      <c r="D186" s="27" t="s">
        <v>312</v>
      </c>
      <c r="E186" s="13" t="str">
        <f>HYPERLINK("https://youtu.be/6384diPPYU4?t=4147","channel 2")</f>
        <v>channel 2</v>
      </c>
    </row>
    <row r="187">
      <c r="B187" s="27" t="s">
        <v>317</v>
      </c>
      <c r="C187" s="12" t="s">
        <v>36</v>
      </c>
      <c r="D187" s="27" t="s">
        <v>314</v>
      </c>
      <c r="E187" s="13" t="str">
        <f>HYPERLINK("https://youtu.be/EdMwpWVfid4?t=5113","channel 1")</f>
        <v>channel 1</v>
      </c>
    </row>
    <row r="188">
      <c r="B188" s="27" t="s">
        <v>315</v>
      </c>
      <c r="C188" s="12" t="s">
        <v>142</v>
      </c>
      <c r="D188" s="27" t="s">
        <v>313</v>
      </c>
      <c r="E188" s="13" t="str">
        <f>HYPERLINK("https://youtu.be/6384diPPYU4?t=5092","channel 2")</f>
        <v>channel 2</v>
      </c>
    </row>
    <row r="189">
      <c r="B189" s="33" t="s">
        <v>313</v>
      </c>
      <c r="C189" s="34" t="s">
        <v>141</v>
      </c>
      <c r="D189" s="33" t="s">
        <v>312</v>
      </c>
      <c r="E189" s="13" t="str">
        <f>HYPERLINK("https://youtu.be/EdMwpWVfid4?t=1476","channel 1")</f>
        <v>channel 1</v>
      </c>
    </row>
    <row r="190">
      <c r="B190" s="33" t="s">
        <v>315</v>
      </c>
      <c r="C190" s="34" t="s">
        <v>141</v>
      </c>
      <c r="D190" s="33" t="s">
        <v>314</v>
      </c>
      <c r="E190" s="13" t="str">
        <f>HYPERLINK("https://youtu.be/6384diPPYU4?t=1466","channel 2")</f>
        <v>channel 2</v>
      </c>
    </row>
    <row r="191">
      <c r="B191" s="27" t="s">
        <v>312</v>
      </c>
      <c r="C191" s="12" t="s">
        <v>318</v>
      </c>
      <c r="D191" s="27" t="s">
        <v>317</v>
      </c>
      <c r="E191" s="13" t="str">
        <f>HYPERLINK("https://youtu.be/EdMwpWVfid4?t=6015","channel 1")</f>
        <v>channel 1</v>
      </c>
    </row>
    <row r="192">
      <c r="B192" s="27" t="s">
        <v>313</v>
      </c>
      <c r="C192" s="12" t="s">
        <v>102</v>
      </c>
      <c r="D192" s="27" t="s">
        <v>314</v>
      </c>
      <c r="E192" s="13" t="str">
        <f>HYPERLINK("https://youtu.be/6384diPPYU4?t=5983","channel 2")</f>
        <v>channel 2</v>
      </c>
    </row>
    <row r="193">
      <c r="B193" s="27" t="s">
        <v>315</v>
      </c>
      <c r="C193" s="12" t="s">
        <v>88</v>
      </c>
      <c r="D193" s="27" t="s">
        <v>317</v>
      </c>
      <c r="E193" s="13" t="str">
        <f>HYPERLINK("https://youtu.be/EdMwpWVfid4?t=6903","channel 1")</f>
        <v>channel 1</v>
      </c>
    </row>
    <row r="194">
      <c r="B194" s="27" t="s">
        <v>312</v>
      </c>
      <c r="C194" s="12" t="s">
        <v>37</v>
      </c>
      <c r="D194" s="27" t="s">
        <v>314</v>
      </c>
      <c r="E194" s="13" t="str">
        <f>HYPERLINK("https://youtu.be/6384diPPYU4?t=6887","channel 2")</f>
        <v>channel 2</v>
      </c>
    </row>
    <row r="195">
      <c r="B195" s="27" t="s">
        <v>313</v>
      </c>
      <c r="C195" s="12" t="s">
        <v>340</v>
      </c>
      <c r="D195" s="27" t="s">
        <v>317</v>
      </c>
      <c r="E195" s="13" t="str">
        <f>HYPERLINK("https://youtu.be/EdMwpWVfid4?t=7777","channel 1")</f>
        <v>channel 1</v>
      </c>
    </row>
    <row r="196">
      <c r="B196" s="27" t="s">
        <v>312</v>
      </c>
      <c r="C196" s="12" t="s">
        <v>146</v>
      </c>
      <c r="D196" s="27" t="s">
        <v>315</v>
      </c>
      <c r="E196" s="13" t="str">
        <f>HYPERLINK("https://youtu.be/6384diPPYU4?t=7792","channel 2")</f>
        <v>channel 2</v>
      </c>
    </row>
    <row r="197">
      <c r="B197" s="27" t="s">
        <v>314</v>
      </c>
      <c r="C197" s="12" t="s">
        <v>59</v>
      </c>
      <c r="D197" s="27" t="s">
        <v>317</v>
      </c>
      <c r="E197" s="13" t="str">
        <f>HYPERLINK("https://youtu.be/EdMwpWVfid4?t=8702","channel 1")</f>
        <v>channel 1</v>
      </c>
    </row>
    <row r="198">
      <c r="B198" s="27" t="s">
        <v>313</v>
      </c>
      <c r="C198" s="12" t="s">
        <v>337</v>
      </c>
      <c r="D198" s="27" t="s">
        <v>315</v>
      </c>
      <c r="E198" s="13" t="str">
        <f>HYPERLINK("https://youtu.be/6384diPPYU4?t=8636","channel 2")</f>
        <v>channel 2</v>
      </c>
    </row>
    <row r="199">
      <c r="B199" s="30" t="s">
        <v>341</v>
      </c>
      <c r="C199" s="3"/>
      <c r="D199" s="4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321</v>
      </c>
      <c r="C201" s="12" t="s">
        <v>59</v>
      </c>
      <c r="D201" s="27" t="s">
        <v>342</v>
      </c>
      <c r="E201" s="13" t="str">
        <f>HYPERLINK("https://youtu.be/SBJzbW8JpWM","channel 1")</f>
        <v>channel 1</v>
      </c>
    </row>
    <row r="202">
      <c r="B202" s="27" t="s">
        <v>344</v>
      </c>
      <c r="C202" s="12" t="s">
        <v>32</v>
      </c>
      <c r="D202" s="27" t="s">
        <v>345</v>
      </c>
      <c r="E202" s="13" t="str">
        <f>HYPERLINK("https://youtu.be/LF0sMJ51470","channel 2")</f>
        <v>channel 2</v>
      </c>
    </row>
    <row r="203">
      <c r="B203" s="27" t="s">
        <v>346</v>
      </c>
      <c r="C203" s="12" t="s">
        <v>188</v>
      </c>
      <c r="D203" s="27" t="s">
        <v>321</v>
      </c>
      <c r="E203" s="13" t="str">
        <f>HYPERLINK("https://youtu.be/SBJzbW8JpWM?t=1135","channel 1")</f>
        <v>channel 1</v>
      </c>
    </row>
    <row r="204">
      <c r="B204" s="27" t="s">
        <v>344</v>
      </c>
      <c r="C204" s="12" t="s">
        <v>34</v>
      </c>
      <c r="D204" s="27" t="s">
        <v>342</v>
      </c>
      <c r="E204" s="13" t="str">
        <f>HYPERLINK("https://youtu.be/LF0sMJ51470?t=1048","channel 2")</f>
        <v>channel 2</v>
      </c>
    </row>
    <row r="205">
      <c r="B205" s="27" t="s">
        <v>346</v>
      </c>
      <c r="C205" s="12" t="s">
        <v>347</v>
      </c>
      <c r="D205" s="27" t="s">
        <v>345</v>
      </c>
      <c r="E205" s="13" t="str">
        <f>HYPERLINK("https://youtu.be/SBJzbW8JpWM?t=2071","channel 1")</f>
        <v>channel 1</v>
      </c>
    </row>
    <row r="206">
      <c r="B206" s="27" t="s">
        <v>344</v>
      </c>
      <c r="C206" s="12" t="s">
        <v>213</v>
      </c>
      <c r="D206" s="27" t="s">
        <v>321</v>
      </c>
      <c r="E206" s="13" t="str">
        <f>HYPERLINK("https://youtu.be/LF0sMJ51470?t=2052","channel 2")</f>
        <v>channel 2</v>
      </c>
    </row>
    <row r="207">
      <c r="B207" s="27" t="s">
        <v>346</v>
      </c>
      <c r="C207" s="12" t="s">
        <v>141</v>
      </c>
      <c r="D207" s="27" t="s">
        <v>342</v>
      </c>
      <c r="E207" s="13" t="str">
        <f>HYPERLINK("https://youtu.be/SBJzbW8JpWM?t=3078","channel 1")</f>
        <v>channel 1</v>
      </c>
    </row>
    <row r="208">
      <c r="B208" s="27" t="s">
        <v>345</v>
      </c>
      <c r="C208" s="12" t="s">
        <v>55</v>
      </c>
      <c r="D208" s="27" t="s">
        <v>321</v>
      </c>
      <c r="E208" s="13" t="str">
        <f>HYPERLINK("https://youtu.be/LF0sMJ51470?t=3045","channel 2")</f>
        <v>channel 2</v>
      </c>
    </row>
    <row r="209">
      <c r="B209" s="27" t="s">
        <v>346</v>
      </c>
      <c r="C209" s="12" t="s">
        <v>350</v>
      </c>
      <c r="D209" s="27" t="s">
        <v>344</v>
      </c>
      <c r="E209" s="13" t="str">
        <f>HYPERLINK("https://youtu.be/SBJzbW8JpWM?t=3987","channel 1")</f>
        <v>channel 1</v>
      </c>
    </row>
    <row r="210">
      <c r="B210" s="27" t="s">
        <v>345</v>
      </c>
      <c r="C210" s="12" t="s">
        <v>353</v>
      </c>
      <c r="D210" s="27" t="s">
        <v>342</v>
      </c>
      <c r="E210" s="13" t="str">
        <f>HYPERLINK("https://youtu.be/LF0sMJ51470?t=3955","channel 2")</f>
        <v>channel 2</v>
      </c>
    </row>
    <row r="211">
      <c r="B211" s="27" t="s">
        <v>342</v>
      </c>
      <c r="C211" s="12" t="s">
        <v>104</v>
      </c>
      <c r="D211" s="27" t="s">
        <v>321</v>
      </c>
      <c r="E211" s="13" t="str">
        <f>HYPERLINK("https://youtu.be/SBJzbW8JpWM?t=4946","channel 1")</f>
        <v>channel 1</v>
      </c>
    </row>
    <row r="212">
      <c r="B212" s="27" t="s">
        <v>345</v>
      </c>
      <c r="C212" s="12" t="s">
        <v>358</v>
      </c>
      <c r="D212" s="27" t="s">
        <v>344</v>
      </c>
      <c r="E212" s="13" t="str">
        <f>HYPERLINK("https://youtu.be/LF0sMJ51470?t=4893","channel 2")</f>
        <v>channel 2</v>
      </c>
    </row>
    <row r="213">
      <c r="B213" s="27" t="s">
        <v>321</v>
      </c>
      <c r="C213" s="12" t="s">
        <v>218</v>
      </c>
      <c r="D213" s="27" t="s">
        <v>346</v>
      </c>
      <c r="E213" s="13" t="str">
        <f>HYPERLINK("https://youtu.be/SBJzbW8JpWM?t=5876","channel 1")</f>
        <v>channel 1</v>
      </c>
    </row>
    <row r="214">
      <c r="B214" s="27" t="s">
        <v>342</v>
      </c>
      <c r="C214" s="12" t="s">
        <v>59</v>
      </c>
      <c r="D214" s="27" t="s">
        <v>344</v>
      </c>
      <c r="E214" s="13" t="str">
        <f>HYPERLINK("https://youtu.be/LF0sMJ51470?t=5817","channel 2")</f>
        <v>channel 2</v>
      </c>
    </row>
    <row r="215">
      <c r="B215" s="27" t="s">
        <v>345</v>
      </c>
      <c r="C215" s="12" t="s">
        <v>157</v>
      </c>
      <c r="D215" s="27" t="s">
        <v>346</v>
      </c>
      <c r="E215" s="13" t="str">
        <f>HYPERLINK("https://youtu.be/SBJzbW8JpWM?t=6825","channel 1")</f>
        <v>channel 1</v>
      </c>
    </row>
    <row r="216">
      <c r="B216" s="27" t="s">
        <v>321</v>
      </c>
      <c r="C216" s="12" t="s">
        <v>360</v>
      </c>
      <c r="D216" s="27" t="s">
        <v>344</v>
      </c>
      <c r="E216" s="13" t="str">
        <f>HYPERLINK("https://youtu.be/LF0sMJ51470?t=6803","channel 2")</f>
        <v>channel 2</v>
      </c>
    </row>
    <row r="217">
      <c r="B217" s="27" t="s">
        <v>342</v>
      </c>
      <c r="C217" s="12" t="s">
        <v>193</v>
      </c>
      <c r="D217" s="27" t="s">
        <v>346</v>
      </c>
      <c r="E217" s="13" t="str">
        <f>HYPERLINK("https://youtu.be/SBJzbW8JpWM?t=7797","channel 1")</f>
        <v>channel 1</v>
      </c>
    </row>
    <row r="218">
      <c r="B218" s="27" t="s">
        <v>321</v>
      </c>
      <c r="C218" s="12" t="s">
        <v>85</v>
      </c>
      <c r="D218" s="27" t="s">
        <v>345</v>
      </c>
      <c r="E218" s="13" t="str">
        <f>HYPERLINK("https://youtu.be/LF0sMJ51470?t=7765","channel 2")</f>
        <v>channel 2</v>
      </c>
    </row>
    <row r="219">
      <c r="B219" s="27" t="s">
        <v>344</v>
      </c>
      <c r="C219" s="12" t="s">
        <v>363</v>
      </c>
      <c r="D219" s="27" t="s">
        <v>346</v>
      </c>
      <c r="E219" s="13" t="str">
        <f>HYPERLINK("https://youtu.be/SBJzbW8JpWM?t=8686","channel 1")</f>
        <v>channel 1</v>
      </c>
    </row>
    <row r="220">
      <c r="B220" s="27" t="s">
        <v>342</v>
      </c>
      <c r="C220" s="12" t="s">
        <v>364</v>
      </c>
      <c r="D220" s="27" t="s">
        <v>345</v>
      </c>
      <c r="E220" s="13" t="str">
        <f>HYPERLINK("https://youtu.be/LF0sMJ51470?t=8640","channel 2")</f>
        <v>channel 2</v>
      </c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6" t="s">
        <v>299</v>
      </c>
      <c r="C1" s="3"/>
      <c r="D1" s="4"/>
      <c r="E1" s="5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300</v>
      </c>
      <c r="C3" s="12" t="s">
        <v>35</v>
      </c>
      <c r="D3" s="10" t="s">
        <v>301</v>
      </c>
      <c r="E3" s="32" t="str">
        <f>HYPERLINK("https://youtu.be/CxdFOwTQ9ko","channel 2")</f>
        <v>channel 2</v>
      </c>
    </row>
    <row r="4">
      <c r="A4" s="7"/>
      <c r="B4" s="10" t="s">
        <v>302</v>
      </c>
      <c r="C4" s="12" t="s">
        <v>124</v>
      </c>
      <c r="D4" s="10" t="s">
        <v>303</v>
      </c>
      <c r="E4" s="32" t="str">
        <f>HYPERLINK("https://youtu.be/p5r7HgIDNHo","channel 4")</f>
        <v>channel 4</v>
      </c>
    </row>
    <row r="5">
      <c r="A5" s="7"/>
      <c r="B5" s="10" t="s">
        <v>222</v>
      </c>
      <c r="C5" s="12" t="s">
        <v>305</v>
      </c>
      <c r="D5" s="10" t="s">
        <v>300</v>
      </c>
      <c r="E5" s="32" t="str">
        <f>HYPERLINK("https://youtu.be/CxdFOwTQ9ko?t=1106","channel 2")</f>
        <v>channel 2</v>
      </c>
    </row>
    <row r="6">
      <c r="A6" s="7"/>
      <c r="B6" s="10" t="s">
        <v>302</v>
      </c>
      <c r="C6" s="12" t="s">
        <v>141</v>
      </c>
      <c r="D6" s="10" t="s">
        <v>301</v>
      </c>
      <c r="E6" s="32" t="str">
        <f>HYPERLINK("https://youtu.be/p5r7HgIDNHo?t=1332","channel 4")</f>
        <v>channel 4</v>
      </c>
    </row>
    <row r="7">
      <c r="A7" s="7"/>
      <c r="B7" s="10" t="s">
        <v>222</v>
      </c>
      <c r="C7" s="12" t="s">
        <v>18</v>
      </c>
      <c r="D7" s="10" t="s">
        <v>303</v>
      </c>
      <c r="E7" s="32" t="str">
        <f>HYPERLINK("https://youtu.be/CxdFOwTQ9ko?t=2101","channel 2")</f>
        <v>channel 2</v>
      </c>
    </row>
    <row r="8">
      <c r="A8" s="7"/>
      <c r="B8" s="10" t="s">
        <v>302</v>
      </c>
      <c r="C8" s="12" t="s">
        <v>157</v>
      </c>
      <c r="D8" s="10" t="s">
        <v>300</v>
      </c>
      <c r="E8" s="32" t="str">
        <f>HYPERLINK("https://youtu.be/p5r7HgIDNHo?t=2147","channel 4")</f>
        <v>channel 4</v>
      </c>
    </row>
    <row r="9">
      <c r="A9" s="7"/>
      <c r="B9" s="10" t="s">
        <v>222</v>
      </c>
      <c r="C9" s="12" t="s">
        <v>309</v>
      </c>
      <c r="D9" s="10" t="s">
        <v>301</v>
      </c>
      <c r="E9" s="32" t="str">
        <f>HYPERLINK("https://youtu.be/CxdFOwTQ9ko?t=3026","channel 2")</f>
        <v>channel 2</v>
      </c>
    </row>
    <row r="10">
      <c r="A10" s="7"/>
      <c r="B10" s="10" t="s">
        <v>303</v>
      </c>
      <c r="C10" s="12" t="s">
        <v>310</v>
      </c>
      <c r="D10" s="10" t="s">
        <v>300</v>
      </c>
      <c r="E10" s="32" t="str">
        <f>HYPERLINK("https://youtu.be/p5r7HgIDNHo?t=3168","channel 4")</f>
        <v>channel 4</v>
      </c>
    </row>
    <row r="11">
      <c r="A11" s="7"/>
      <c r="B11" s="10" t="s">
        <v>222</v>
      </c>
      <c r="C11" s="12" t="s">
        <v>188</v>
      </c>
      <c r="D11" s="10" t="s">
        <v>302</v>
      </c>
      <c r="E11" s="32" t="str">
        <f>HYPERLINK("https://youtu.be/CxdFOwTQ9ko?t=3932","channel 2")</f>
        <v>channel 2</v>
      </c>
    </row>
    <row r="12">
      <c r="A12" s="7"/>
      <c r="B12" s="10" t="s">
        <v>303</v>
      </c>
      <c r="C12" s="12" t="s">
        <v>311</v>
      </c>
      <c r="D12" s="10" t="s">
        <v>301</v>
      </c>
      <c r="E12" s="32" t="str">
        <f>HYPERLINK("https://youtu.be/p5r7HgIDNHo?t=4167","channel 4")</f>
        <v>channel 4</v>
      </c>
    </row>
    <row r="13">
      <c r="A13" s="7"/>
      <c r="B13" s="10" t="s">
        <v>301</v>
      </c>
      <c r="C13" s="12" t="s">
        <v>191</v>
      </c>
      <c r="D13" s="10" t="s">
        <v>300</v>
      </c>
      <c r="E13" s="32" t="str">
        <f>HYPERLINK("https://youtu.be/CxdFOwTQ9ko?t=4864","channel 2")</f>
        <v>channel 2</v>
      </c>
    </row>
    <row r="14">
      <c r="A14" s="7"/>
      <c r="B14" s="10" t="s">
        <v>303</v>
      </c>
      <c r="C14" s="18" t="s">
        <v>141</v>
      </c>
      <c r="D14" s="10" t="s">
        <v>302</v>
      </c>
      <c r="E14" s="32" t="str">
        <f>HYPERLINK("https://youtu.be/p5r7HgIDNHo?t=5089","channel 4")</f>
        <v>channel 4</v>
      </c>
    </row>
    <row r="15">
      <c r="A15" s="7"/>
      <c r="B15" s="10" t="s">
        <v>300</v>
      </c>
      <c r="C15" s="18" t="s">
        <v>318</v>
      </c>
      <c r="D15" s="10" t="s">
        <v>222</v>
      </c>
      <c r="E15" s="32" t="str">
        <f>HYPERLINK("https://youtu.be/CxdFOwTQ9ko?t=5765","channel 2")</f>
        <v>channel 2</v>
      </c>
    </row>
    <row r="16">
      <c r="A16" s="7"/>
      <c r="B16" s="10" t="s">
        <v>301</v>
      </c>
      <c r="C16" s="12" t="s">
        <v>184</v>
      </c>
      <c r="D16" s="10" t="s">
        <v>302</v>
      </c>
      <c r="E16" s="32" t="str">
        <f>HYPERLINK("https://youtu.be/p5r7HgIDNHo?t=5934","channel 4")</f>
        <v>channel 4</v>
      </c>
    </row>
    <row r="17">
      <c r="A17" s="7"/>
      <c r="B17" s="10" t="s">
        <v>303</v>
      </c>
      <c r="C17" s="12" t="s">
        <v>322</v>
      </c>
      <c r="D17" s="10" t="s">
        <v>222</v>
      </c>
      <c r="E17" s="32" t="str">
        <f>HYPERLINK("https://youtu.be/CxdFOwTQ9ko?t=6754","channel 2")</f>
        <v>channel 2</v>
      </c>
    </row>
    <row r="18">
      <c r="A18" s="7"/>
      <c r="B18" s="10" t="s">
        <v>300</v>
      </c>
      <c r="C18" s="12" t="s">
        <v>239</v>
      </c>
      <c r="D18" s="10" t="s">
        <v>302</v>
      </c>
      <c r="E18" s="32" t="str">
        <f>HYPERLINK("https://youtu.be/p5r7HgIDNHo?t=6932","channel 4")</f>
        <v>channel 4</v>
      </c>
    </row>
    <row r="19">
      <c r="A19" s="7"/>
      <c r="B19" s="10" t="s">
        <v>301</v>
      </c>
      <c r="C19" s="12" t="s">
        <v>46</v>
      </c>
      <c r="D19" s="10" t="s">
        <v>222</v>
      </c>
      <c r="E19" s="32" t="str">
        <f>HYPERLINK("https://youtu.be/CxdFOwTQ9ko?t=7721","channel 2")</f>
        <v>channel 2</v>
      </c>
    </row>
    <row r="20">
      <c r="A20" s="7"/>
      <c r="B20" s="10" t="s">
        <v>300</v>
      </c>
      <c r="C20" s="12" t="s">
        <v>138</v>
      </c>
      <c r="D20" s="10" t="s">
        <v>303</v>
      </c>
      <c r="E20" s="32" t="str">
        <f>HYPERLINK("https://youtu.be/p5r7HgIDNHo?t=7931","channel 4")</f>
        <v>channel 4</v>
      </c>
    </row>
    <row r="21">
      <c r="A21" s="7"/>
      <c r="B21" s="10" t="s">
        <v>302</v>
      </c>
      <c r="C21" s="12" t="s">
        <v>278</v>
      </c>
      <c r="D21" s="10" t="s">
        <v>222</v>
      </c>
      <c r="E21" s="32" t="str">
        <f>HYPERLINK("https://youtu.be/CxdFOwTQ9ko?t=8612","channel 2")</f>
        <v>channel 2</v>
      </c>
    </row>
    <row r="22">
      <c r="A22" s="7"/>
      <c r="B22" s="10" t="s">
        <v>301</v>
      </c>
      <c r="C22" s="12" t="s">
        <v>145</v>
      </c>
      <c r="D22" s="10" t="s">
        <v>303</v>
      </c>
      <c r="E22" s="32" t="str">
        <f>HYPERLINK("https://youtu.be/p5r7HgIDNHo?t=8860","channel 4")</f>
        <v>channel 4</v>
      </c>
    </row>
    <row r="23">
      <c r="A23" s="7"/>
      <c r="B23" s="6" t="s">
        <v>329</v>
      </c>
      <c r="C23" s="3"/>
      <c r="D23" s="4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330</v>
      </c>
      <c r="C25" s="12" t="s">
        <v>332</v>
      </c>
      <c r="D25" s="10" t="s">
        <v>333</v>
      </c>
      <c r="E25" s="32" t="str">
        <f>HYPERLINK("https://youtu.be/bJjnVicPwTM","channel 2")</f>
        <v>channel 2</v>
      </c>
    </row>
    <row r="26">
      <c r="A26" s="7"/>
      <c r="B26" s="10" t="s">
        <v>334</v>
      </c>
      <c r="C26" s="12" t="s">
        <v>111</v>
      </c>
      <c r="D26" s="10" t="s">
        <v>335</v>
      </c>
      <c r="E26" s="32" t="str">
        <f>HYPERLINK("https://youtu.be/3EHvFl2LS1E","channel 4")</f>
        <v>channel 4</v>
      </c>
    </row>
    <row r="27">
      <c r="A27" s="7"/>
      <c r="B27" s="10" t="s">
        <v>336</v>
      </c>
      <c r="C27" s="12" t="s">
        <v>59</v>
      </c>
      <c r="D27" s="10" t="s">
        <v>330</v>
      </c>
      <c r="E27" s="32" t="str">
        <f>HYPERLINK("https://youtu.be/bJjnVicPwTM?t=1133","channel 2")</f>
        <v>channel 2</v>
      </c>
    </row>
    <row r="28">
      <c r="A28" s="7"/>
      <c r="B28" s="10" t="s">
        <v>334</v>
      </c>
      <c r="C28" s="12" t="s">
        <v>337</v>
      </c>
      <c r="D28" s="10" t="s">
        <v>333</v>
      </c>
      <c r="E28" s="32" t="str">
        <f>HYPERLINK("https://youtu.be/3EHvFl2LS1E?t=952","channel 4")</f>
        <v>channel 4</v>
      </c>
    </row>
    <row r="29">
      <c r="A29" s="7"/>
      <c r="B29" s="10" t="s">
        <v>336</v>
      </c>
      <c r="C29" s="12" t="s">
        <v>218</v>
      </c>
      <c r="D29" s="10" t="s">
        <v>335</v>
      </c>
      <c r="E29" s="32" t="str">
        <f>HYPERLINK("https://youtu.be/bJjnVicPwTM?t=2151","channel 2")</f>
        <v>channel 2</v>
      </c>
    </row>
    <row r="30">
      <c r="A30" s="7"/>
      <c r="B30" s="10" t="s">
        <v>334</v>
      </c>
      <c r="C30" s="12" t="s">
        <v>148</v>
      </c>
      <c r="D30" s="10" t="s">
        <v>330</v>
      </c>
      <c r="E30" s="32" t="str">
        <f>HYPERLINK("https://youtu.be/3EHvFl2LS1E?t=1964","channel 4")</f>
        <v>channel 4</v>
      </c>
    </row>
    <row r="31">
      <c r="A31" s="7"/>
      <c r="B31" s="10" t="s">
        <v>336</v>
      </c>
      <c r="C31" s="12" t="s">
        <v>74</v>
      </c>
      <c r="D31" s="10" t="s">
        <v>333</v>
      </c>
      <c r="E31" s="32" t="str">
        <f>HYPERLINK("https://youtu.be/bJjnVicPwTM?t=3062","channel 2")</f>
        <v>channel 2</v>
      </c>
    </row>
    <row r="32">
      <c r="A32" s="7"/>
      <c r="B32" s="10" t="s">
        <v>335</v>
      </c>
      <c r="C32" s="12" t="s">
        <v>97</v>
      </c>
      <c r="D32" s="10" t="s">
        <v>330</v>
      </c>
      <c r="E32" s="32" t="str">
        <f>HYPERLINK("https://youtu.be/3EHvFl2LS1E?t=3157","channel 4")</f>
        <v>channel 4</v>
      </c>
    </row>
    <row r="33">
      <c r="A33" s="7"/>
      <c r="B33" s="10" t="s">
        <v>336</v>
      </c>
      <c r="C33" s="12" t="s">
        <v>46</v>
      </c>
      <c r="D33" s="10" t="s">
        <v>334</v>
      </c>
      <c r="E33" s="32" t="str">
        <f>HYPERLINK("https://youtu.be/bJjnVicPwTM?t=4046","channel 2")</f>
        <v>channel 2</v>
      </c>
    </row>
    <row r="34">
      <c r="A34" s="7"/>
      <c r="B34" s="10" t="s">
        <v>335</v>
      </c>
      <c r="C34" s="12" t="s">
        <v>117</v>
      </c>
      <c r="D34" s="10" t="s">
        <v>333</v>
      </c>
      <c r="E34" s="32" t="str">
        <f>HYPERLINK("https://youtu.be/3EHvFl2LS1E?t=4083","channel 4")</f>
        <v>channel 4</v>
      </c>
    </row>
    <row r="35">
      <c r="A35" s="7"/>
      <c r="B35" s="10" t="s">
        <v>333</v>
      </c>
      <c r="C35" s="12" t="s">
        <v>328</v>
      </c>
      <c r="D35" s="10" t="s">
        <v>330</v>
      </c>
      <c r="E35" s="32" t="str">
        <f>HYPERLINK("https://youtu.be/bJjnVicPwTM?t=4904","channel 2")</f>
        <v>channel 2</v>
      </c>
    </row>
    <row r="36">
      <c r="A36" s="7"/>
      <c r="B36" s="10" t="s">
        <v>335</v>
      </c>
      <c r="C36" s="12" t="s">
        <v>251</v>
      </c>
      <c r="D36" s="10" t="s">
        <v>334</v>
      </c>
      <c r="E36" s="32" t="str">
        <f>HYPERLINK("https://youtu.be/3EHvFl2LS1E?t=5088","channel 4")</f>
        <v>channel 4</v>
      </c>
    </row>
    <row r="37">
      <c r="A37" s="7"/>
      <c r="B37" s="10" t="s">
        <v>330</v>
      </c>
      <c r="C37" s="12" t="s">
        <v>109</v>
      </c>
      <c r="D37" s="10" t="s">
        <v>336</v>
      </c>
      <c r="E37" s="32" t="str">
        <f>HYPERLINK("https://youtu.be/bJjnVicPwTM?t=5871","channel 2")</f>
        <v>channel 2</v>
      </c>
    </row>
    <row r="38">
      <c r="A38" s="7"/>
      <c r="B38" s="10" t="s">
        <v>333</v>
      </c>
      <c r="C38" s="12" t="s">
        <v>343</v>
      </c>
      <c r="D38" s="10" t="s">
        <v>334</v>
      </c>
      <c r="E38" s="32" t="str">
        <f>HYPERLINK("https://youtu.be/3EHvFl2LS1E?t=5923","channel 4")</f>
        <v>channel 4</v>
      </c>
    </row>
    <row r="39">
      <c r="A39" s="7"/>
      <c r="B39" s="10" t="s">
        <v>335</v>
      </c>
      <c r="C39" s="18" t="s">
        <v>223</v>
      </c>
      <c r="D39" s="10" t="s">
        <v>336</v>
      </c>
      <c r="E39" s="32" t="str">
        <f>HYPERLINK("https://youtu.be/bJjnVicPwTM?t=6693","channel 2")</f>
        <v>channel 2</v>
      </c>
    </row>
    <row r="40">
      <c r="A40" s="7"/>
      <c r="B40" s="10" t="s">
        <v>330</v>
      </c>
      <c r="C40" s="12" t="s">
        <v>343</v>
      </c>
      <c r="D40" s="10" t="s">
        <v>334</v>
      </c>
      <c r="E40" s="32" t="str">
        <f>HYPERLINK("https://youtu.be/3EHvFl2LS1E?t=6887","channel 4")</f>
        <v>channel 4</v>
      </c>
    </row>
    <row r="41">
      <c r="A41" s="7"/>
      <c r="B41" s="10" t="s">
        <v>333</v>
      </c>
      <c r="C41" s="12" t="s">
        <v>216</v>
      </c>
      <c r="D41" s="10" t="s">
        <v>336</v>
      </c>
      <c r="E41" s="32" t="str">
        <f>HYPERLINK("https://youtu.be/bJjnVicPwTM?t=7542","channel 2")</f>
        <v>channel 2</v>
      </c>
    </row>
    <row r="42">
      <c r="A42" s="7"/>
      <c r="B42" s="10" t="s">
        <v>330</v>
      </c>
      <c r="C42" s="12" t="s">
        <v>348</v>
      </c>
      <c r="D42" s="10" t="s">
        <v>335</v>
      </c>
      <c r="E42" s="32" t="str">
        <f>HYPERLINK("https://youtu.be/3EHvFl2LS1E?t=7745","channel 4")</f>
        <v>channel 4</v>
      </c>
    </row>
    <row r="43">
      <c r="A43" s="7"/>
      <c r="B43" s="10" t="s">
        <v>334</v>
      </c>
      <c r="C43" s="12" t="s">
        <v>311</v>
      </c>
      <c r="D43" s="10" t="s">
        <v>336</v>
      </c>
      <c r="E43" s="32" t="str">
        <f>HYPERLINK("https://youtu.be/bJjnVicPwTM?t=8464","channel 2")</f>
        <v>channel 2</v>
      </c>
    </row>
    <row r="44">
      <c r="A44" s="7"/>
      <c r="B44" s="10" t="s">
        <v>333</v>
      </c>
      <c r="C44" s="12" t="s">
        <v>204</v>
      </c>
      <c r="D44" s="10" t="s">
        <v>335</v>
      </c>
      <c r="E44" s="32" t="str">
        <f>HYPERLINK("https://youtu.be/3EHvFl2LS1E?t=8716","channel 4")</f>
        <v>channel 4</v>
      </c>
    </row>
    <row r="45">
      <c r="A45" s="7"/>
      <c r="B45" s="6" t="s">
        <v>349</v>
      </c>
      <c r="C45" s="3"/>
      <c r="D45" s="4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351</v>
      </c>
      <c r="C47" s="12" t="s">
        <v>304</v>
      </c>
      <c r="D47" s="10" t="s">
        <v>352</v>
      </c>
      <c r="E47" s="13" t="str">
        <f>HYPERLINK("https://youtu.be/ClZvPxeQX6A","channel 1")</f>
        <v>channel 1</v>
      </c>
    </row>
    <row r="48">
      <c r="A48" s="7"/>
      <c r="B48" s="10" t="s">
        <v>354</v>
      </c>
      <c r="C48" s="12" t="s">
        <v>144</v>
      </c>
      <c r="D48" s="10" t="s">
        <v>355</v>
      </c>
      <c r="E48" s="13" t="str">
        <f>HYPERLINK("https://youtu.be/EYolK-HdoS8","channel 3")</f>
        <v>channel 3</v>
      </c>
    </row>
    <row r="49">
      <c r="A49" s="7"/>
      <c r="B49" s="10" t="s">
        <v>356</v>
      </c>
      <c r="C49" s="12" t="s">
        <v>357</v>
      </c>
      <c r="D49" s="10" t="s">
        <v>351</v>
      </c>
      <c r="E49" s="13" t="str">
        <f>HYPERLINK("https://youtu.be/ClZvPxeQX6A?t=1502","channel 1")</f>
        <v>channel 1</v>
      </c>
    </row>
    <row r="50">
      <c r="A50" s="7"/>
      <c r="B50" s="10" t="s">
        <v>354</v>
      </c>
      <c r="C50" s="12" t="s">
        <v>113</v>
      </c>
      <c r="D50" s="10" t="s">
        <v>352</v>
      </c>
      <c r="E50" s="13" t="str">
        <f>HYPERLINK("https://youtu.be/EYolK-HdoS8?t=1275","channel 3")</f>
        <v>channel 3</v>
      </c>
    </row>
    <row r="51">
      <c r="A51" s="7"/>
      <c r="B51" s="10" t="s">
        <v>356</v>
      </c>
      <c r="C51" s="12" t="s">
        <v>359</v>
      </c>
      <c r="D51" s="10" t="s">
        <v>355</v>
      </c>
      <c r="E51" s="13" t="str">
        <f>HYPERLINK("https://youtu.be/ClZvPxeQX6A?t=2707","channel 1")</f>
        <v>channel 1</v>
      </c>
    </row>
    <row r="52">
      <c r="A52" s="7"/>
      <c r="B52" s="10" t="s">
        <v>354</v>
      </c>
      <c r="C52" s="12" t="s">
        <v>193</v>
      </c>
      <c r="D52" s="10" t="s">
        <v>351</v>
      </c>
      <c r="E52" s="13" t="str">
        <f>HYPERLINK("https://youtu.be/EYolK-HdoS8?t=2456","channel 3")</f>
        <v>channel 3</v>
      </c>
    </row>
    <row r="53">
      <c r="A53" s="7"/>
      <c r="B53" s="10" t="s">
        <v>356</v>
      </c>
      <c r="C53" s="12" t="s">
        <v>361</v>
      </c>
      <c r="D53" s="10" t="s">
        <v>352</v>
      </c>
      <c r="E53" s="13" t="str">
        <f>HYPERLINK("https://youtu.be/ClZvPxeQX6A?t=3731","channel 1")</f>
        <v>channel 1</v>
      </c>
    </row>
    <row r="54">
      <c r="A54" s="7"/>
      <c r="B54" s="10" t="s">
        <v>355</v>
      </c>
      <c r="C54" s="12" t="s">
        <v>362</v>
      </c>
      <c r="D54" s="10" t="s">
        <v>351</v>
      </c>
      <c r="E54" s="13" t="str">
        <f>HYPERLINK("https://youtu.be/EYolK-HdoS8?t=3399","channel 3")</f>
        <v>channel 3</v>
      </c>
    </row>
    <row r="55">
      <c r="A55" s="7"/>
      <c r="B55" s="10" t="s">
        <v>356</v>
      </c>
      <c r="C55" s="12" t="s">
        <v>37</v>
      </c>
      <c r="D55" s="10" t="s">
        <v>354</v>
      </c>
      <c r="E55" s="13" t="str">
        <f>HYPERLINK("https://youtu.be/ClZvPxeQX6A?t=4707","channel 1")</f>
        <v>channel 1</v>
      </c>
    </row>
    <row r="56">
      <c r="A56" s="7"/>
      <c r="B56" s="10" t="s">
        <v>355</v>
      </c>
      <c r="C56" s="12" t="s">
        <v>213</v>
      </c>
      <c r="D56" s="10" t="s">
        <v>352</v>
      </c>
      <c r="E56" s="13" t="str">
        <f>HYPERLINK("https://youtu.be/EYolK-HdoS8?t=4478","channel 3")</f>
        <v>channel 3</v>
      </c>
    </row>
    <row r="57">
      <c r="A57" s="7"/>
      <c r="B57" s="10" t="s">
        <v>352</v>
      </c>
      <c r="C57" s="12" t="s">
        <v>11</v>
      </c>
      <c r="D57" s="10" t="s">
        <v>351</v>
      </c>
      <c r="E57" s="13" t="str">
        <f>HYPERLINK("https://youtu.be/ClZvPxeQX6A?t=5664","channel 1")</f>
        <v>channel 1</v>
      </c>
    </row>
    <row r="58">
      <c r="A58" s="7"/>
      <c r="B58" s="10" t="s">
        <v>355</v>
      </c>
      <c r="C58" s="12" t="s">
        <v>108</v>
      </c>
      <c r="D58" s="10" t="s">
        <v>354</v>
      </c>
      <c r="E58" s="13" t="str">
        <f>HYPERLINK("https://youtu.be/EYolK-HdoS8?t=5611","channel 3")</f>
        <v>channel 3</v>
      </c>
    </row>
    <row r="59">
      <c r="A59" s="7"/>
      <c r="B59" s="10" t="s">
        <v>351</v>
      </c>
      <c r="C59" s="12" t="s">
        <v>365</v>
      </c>
      <c r="D59" s="10" t="s">
        <v>356</v>
      </c>
      <c r="E59" s="13" t="str">
        <f>HYPERLINK("https://youtu.be/ClZvPxeQX6A?t=6597","channel 1")</f>
        <v>channel 1</v>
      </c>
    </row>
    <row r="60">
      <c r="A60" s="7"/>
      <c r="B60" s="10" t="s">
        <v>352</v>
      </c>
      <c r="C60" s="12" t="s">
        <v>47</v>
      </c>
      <c r="D60" s="10" t="s">
        <v>354</v>
      </c>
      <c r="E60" s="13" t="str">
        <f>HYPERLINK("https://youtu.be/EYolK-HdoS8?t=6507","channel 3")</f>
        <v>channel 3</v>
      </c>
    </row>
    <row r="61">
      <c r="A61" s="7"/>
      <c r="B61" s="10" t="s">
        <v>355</v>
      </c>
      <c r="C61" s="12" t="s">
        <v>272</v>
      </c>
      <c r="D61" s="10" t="s">
        <v>356</v>
      </c>
      <c r="E61" s="13" t="str">
        <f>HYPERLINK("https://youtu.be/ClZvPxeQX6A?t=7557","channel 1")</f>
        <v>channel 1</v>
      </c>
    </row>
    <row r="62">
      <c r="A62" s="7"/>
      <c r="B62" s="10" t="s">
        <v>351</v>
      </c>
      <c r="C62" s="18" t="s">
        <v>49</v>
      </c>
      <c r="D62" s="10" t="s">
        <v>354</v>
      </c>
      <c r="E62" s="13" t="str">
        <f>HYPERLINK("https://youtu.be/EYolK-HdoS8?t=7448","channel 3")</f>
        <v>channel 3</v>
      </c>
    </row>
    <row r="63">
      <c r="A63" s="7"/>
      <c r="B63" s="10" t="s">
        <v>352</v>
      </c>
      <c r="C63" s="12" t="s">
        <v>37</v>
      </c>
      <c r="D63" s="10" t="s">
        <v>356</v>
      </c>
      <c r="E63" s="13" t="str">
        <f>HYPERLINK("https://youtu.be/ClZvPxeQX6A?t=8518","channel 1")</f>
        <v>channel 1</v>
      </c>
    </row>
    <row r="64">
      <c r="A64" s="7"/>
      <c r="B64" s="10" t="s">
        <v>351</v>
      </c>
      <c r="C64" s="12" t="s">
        <v>210</v>
      </c>
      <c r="D64" s="10" t="s">
        <v>355</v>
      </c>
      <c r="E64" s="13" t="str">
        <f>HYPERLINK("https://youtu.be/EYolK-HdoS8?t=8404","channel 3")</f>
        <v>channel 3</v>
      </c>
    </row>
    <row r="65">
      <c r="A65" s="7"/>
      <c r="B65" s="10" t="s">
        <v>354</v>
      </c>
      <c r="C65" s="12" t="s">
        <v>278</v>
      </c>
      <c r="D65" s="10" t="s">
        <v>356</v>
      </c>
      <c r="E65" s="13" t="str">
        <f>HYPERLINK("https://youtu.be/ClZvPxeQX6A?t=9468","channel 1")</f>
        <v>channel 1</v>
      </c>
    </row>
    <row r="66">
      <c r="A66" s="7"/>
      <c r="B66" s="10" t="s">
        <v>352</v>
      </c>
      <c r="C66" s="12" t="s">
        <v>210</v>
      </c>
      <c r="D66" s="10" t="s">
        <v>355</v>
      </c>
      <c r="E66" s="13" t="str">
        <f>HYPERLINK("https://youtu.be/EYolK-HdoS8?t=9307","channel 3")</f>
        <v>channel 3</v>
      </c>
    </row>
    <row r="67">
      <c r="A67" s="7"/>
      <c r="B67" s="6" t="s">
        <v>366</v>
      </c>
      <c r="C67" s="3"/>
      <c r="D67" s="4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367</v>
      </c>
      <c r="C69" s="12" t="s">
        <v>237</v>
      </c>
      <c r="D69" s="10" t="s">
        <v>368</v>
      </c>
      <c r="E69" s="13" t="str">
        <f>HYPERLINK("https://youtu.be/27k5fdJnOFs","channel 1")</f>
        <v>channel 1</v>
      </c>
    </row>
    <row r="70">
      <c r="A70" s="7"/>
      <c r="B70" s="10" t="s">
        <v>369</v>
      </c>
      <c r="C70" s="12" t="s">
        <v>132</v>
      </c>
      <c r="D70" s="10" t="s">
        <v>370</v>
      </c>
      <c r="E70" s="13" t="str">
        <f>HYPERLINK("https://youtu.be/O-br6qm_RpY","channel 3")</f>
        <v>channel 3</v>
      </c>
    </row>
    <row r="71">
      <c r="A71" s="7"/>
      <c r="B71" s="10" t="s">
        <v>371</v>
      </c>
      <c r="C71" s="12" t="s">
        <v>372</v>
      </c>
      <c r="D71" s="10" t="s">
        <v>367</v>
      </c>
      <c r="E71" s="13" t="str">
        <f>HYPERLINK("https://youtu.be/27k5fdJnOFs?t=877","channel 1")</f>
        <v>channel 1</v>
      </c>
    </row>
    <row r="72">
      <c r="A72" s="7"/>
      <c r="B72" s="10" t="s">
        <v>369</v>
      </c>
      <c r="C72" s="12" t="s">
        <v>47</v>
      </c>
      <c r="D72" s="10" t="s">
        <v>368</v>
      </c>
      <c r="E72" s="13" t="str">
        <f>HYPERLINK("https://youtu.be/O-br6qm_RpY?t=954","channel 3")</f>
        <v>channel 3</v>
      </c>
    </row>
    <row r="73">
      <c r="A73" s="7"/>
      <c r="B73" s="10" t="s">
        <v>371</v>
      </c>
      <c r="C73" s="12" t="s">
        <v>278</v>
      </c>
      <c r="D73" s="10" t="s">
        <v>370</v>
      </c>
      <c r="E73" s="13" t="str">
        <f>HYPERLINK("https://youtu.be/27k5fdJnOFs?t=1849","channel 1")</f>
        <v>channel 1</v>
      </c>
    </row>
    <row r="74">
      <c r="A74" s="7"/>
      <c r="B74" s="10" t="s">
        <v>369</v>
      </c>
      <c r="C74" s="12" t="s">
        <v>212</v>
      </c>
      <c r="D74" s="10" t="s">
        <v>367</v>
      </c>
      <c r="E74" s="13" t="str">
        <f>HYPERLINK("https://youtu.be/O-br6qm_RpY?t=1931","channel 3")</f>
        <v>channel 3</v>
      </c>
    </row>
    <row r="75">
      <c r="A75" s="7"/>
      <c r="B75" s="10" t="s">
        <v>371</v>
      </c>
      <c r="C75" s="12" t="s">
        <v>93</v>
      </c>
      <c r="D75" s="10" t="s">
        <v>368</v>
      </c>
      <c r="E75" s="13" t="str">
        <f>HYPERLINK("https://youtu.be/27k5fdJnOFs?t=2839","channel 1")</f>
        <v>channel 1</v>
      </c>
    </row>
    <row r="76">
      <c r="A76" s="7"/>
      <c r="B76" s="10" t="s">
        <v>370</v>
      </c>
      <c r="C76" s="12" t="s">
        <v>40</v>
      </c>
      <c r="D76" s="10" t="s">
        <v>367</v>
      </c>
      <c r="E76" s="13" t="str">
        <f>HYPERLINK("https://youtu.be/O-br6qm_RpY?t=3095","channel 3")</f>
        <v>channel 3</v>
      </c>
    </row>
    <row r="77">
      <c r="A77" s="7"/>
      <c r="B77" s="10" t="s">
        <v>371</v>
      </c>
      <c r="C77" s="12" t="s">
        <v>213</v>
      </c>
      <c r="D77" s="10" t="s">
        <v>369</v>
      </c>
      <c r="E77" s="13" t="str">
        <f>HYPERLINK("https://youtu.be/27k5fdJnOFs?t=3790","сhannel 1")</f>
        <v>сhannel 1</v>
      </c>
    </row>
    <row r="78">
      <c r="A78" s="7"/>
      <c r="B78" s="10" t="s">
        <v>370</v>
      </c>
      <c r="C78" s="12" t="s">
        <v>260</v>
      </c>
      <c r="D78" s="10" t="s">
        <v>368</v>
      </c>
      <c r="E78" s="13" t="str">
        <f>HYPERLINK("https://youtu.be/O-br6qm_RpY?t=3974","channel 3")</f>
        <v>channel 3</v>
      </c>
    </row>
    <row r="79">
      <c r="A79" s="7"/>
      <c r="B79" s="10" t="s">
        <v>368</v>
      </c>
      <c r="C79" s="12" t="s">
        <v>160</v>
      </c>
      <c r="D79" s="10" t="s">
        <v>367</v>
      </c>
      <c r="E79" s="13" t="str">
        <f>HYPERLINK("https://youtu.be/27k5fdJnOFs?t=4802","channel 1")</f>
        <v>channel 1</v>
      </c>
    </row>
    <row r="80">
      <c r="A80" s="7"/>
      <c r="B80" s="10" t="s">
        <v>370</v>
      </c>
      <c r="C80" s="12" t="s">
        <v>373</v>
      </c>
      <c r="D80" s="10" t="s">
        <v>369</v>
      </c>
      <c r="E80" s="13" t="str">
        <f>HYPERLINK("https://youtu.be/O-br6qm_RpY?t=4914","channel 3")</f>
        <v>channel 3</v>
      </c>
    </row>
    <row r="81">
      <c r="A81" s="7"/>
      <c r="B81" s="10" t="s">
        <v>367</v>
      </c>
      <c r="C81" s="12" t="s">
        <v>24</v>
      </c>
      <c r="D81" s="10" t="s">
        <v>371</v>
      </c>
      <c r="E81" s="13" t="str">
        <f>HYPERLINK("https://youtu.be/27k5fdJnOFs?t=5767","channel 1")</f>
        <v>channel 1</v>
      </c>
    </row>
    <row r="82">
      <c r="A82" s="7"/>
      <c r="B82" s="10" t="s">
        <v>368</v>
      </c>
      <c r="C82" s="12" t="s">
        <v>10</v>
      </c>
      <c r="D82" s="10" t="s">
        <v>369</v>
      </c>
      <c r="E82" s="13" t="str">
        <f>HYPERLINK("https://youtu.be/O-br6qm_RpY?t=5865","channel 3")</f>
        <v>channel 3</v>
      </c>
    </row>
    <row r="83">
      <c r="A83" s="7"/>
      <c r="B83" s="10" t="s">
        <v>370</v>
      </c>
      <c r="C83" s="12" t="s">
        <v>204</v>
      </c>
      <c r="D83" s="10" t="s">
        <v>371</v>
      </c>
      <c r="E83" s="13" t="str">
        <f>HYPERLINK("https://youtu.be/27k5fdJnOFs?t=6649","channel 1")</f>
        <v>channel 1</v>
      </c>
    </row>
    <row r="84">
      <c r="A84" s="7"/>
      <c r="B84" s="10" t="s">
        <v>367</v>
      </c>
      <c r="C84" s="12" t="s">
        <v>10</v>
      </c>
      <c r="D84" s="10" t="s">
        <v>369</v>
      </c>
      <c r="E84" s="13" t="str">
        <f>HYPERLINK("https://youtu.be/O-br6qm_RpY?t=7577","channel 3")</f>
        <v>channel 3</v>
      </c>
    </row>
    <row r="85">
      <c r="A85" s="7"/>
      <c r="B85" s="10" t="s">
        <v>368</v>
      </c>
      <c r="C85" s="12" t="s">
        <v>38</v>
      </c>
      <c r="D85" s="10" t="s">
        <v>371</v>
      </c>
      <c r="E85" s="13" t="str">
        <f>HYPERLINK("https://youtu.be/27k5fdJnOFs?t=7674","channel 1")</f>
        <v>channel 1</v>
      </c>
    </row>
    <row r="86">
      <c r="A86" s="7"/>
      <c r="B86" s="10" t="s">
        <v>367</v>
      </c>
      <c r="C86" s="12" t="s">
        <v>374</v>
      </c>
      <c r="D86" s="10" t="s">
        <v>370</v>
      </c>
      <c r="E86" s="13" t="str">
        <f>HYPERLINK("https://youtu.be/O-br6qm_RpY?t=8429","channel 3")</f>
        <v>channel 3</v>
      </c>
    </row>
    <row r="87">
      <c r="A87" s="7"/>
      <c r="B87" s="10" t="s">
        <v>369</v>
      </c>
      <c r="C87" s="12" t="s">
        <v>375</v>
      </c>
      <c r="D87" s="10" t="s">
        <v>371</v>
      </c>
      <c r="E87" s="13" t="str">
        <f>HYPERLINK("https://youtu.be/27k5fdJnOFs?t=8606","channel 1")</f>
        <v>channel 1</v>
      </c>
    </row>
    <row r="88">
      <c r="A88" s="7"/>
      <c r="B88" s="10" t="s">
        <v>368</v>
      </c>
      <c r="C88" s="12" t="s">
        <v>376</v>
      </c>
      <c r="D88" s="10" t="s">
        <v>370</v>
      </c>
      <c r="E88" s="13" t="str">
        <f>HYPERLINK("https://youtu.be/O-br6qm_RpY?t=9302","channel 3")</f>
        <v>channel 3</v>
      </c>
    </row>
    <row r="89">
      <c r="A89" s="7"/>
      <c r="B89" s="6" t="s">
        <v>377</v>
      </c>
      <c r="C89" s="3"/>
      <c r="D89" s="4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378</v>
      </c>
      <c r="C91" s="12" t="s">
        <v>57</v>
      </c>
      <c r="D91" s="10" t="s">
        <v>379</v>
      </c>
      <c r="E91" s="32" t="str">
        <f>HYPERLINK("https://youtu.be/hjfKe8r_o3U","channel 2")</f>
        <v>channel 2</v>
      </c>
    </row>
    <row r="92">
      <c r="A92" s="7"/>
      <c r="B92" s="10" t="s">
        <v>380</v>
      </c>
      <c r="C92" s="12" t="s">
        <v>49</v>
      </c>
      <c r="D92" s="10" t="s">
        <v>381</v>
      </c>
      <c r="E92" s="32" t="str">
        <f>HYPERLINK("https://youtu.be/Kqtx9N08-I8","channel 4")</f>
        <v>channel 4</v>
      </c>
    </row>
    <row r="93">
      <c r="A93" s="7"/>
      <c r="B93" s="10" t="s">
        <v>382</v>
      </c>
      <c r="C93" s="12" t="s">
        <v>34</v>
      </c>
      <c r="D93" s="10" t="s">
        <v>378</v>
      </c>
      <c r="E93" s="32" t="str">
        <f>HYPERLINK("https://youtu.be/hjfKe8r_o3U?t=942","channel 2")</f>
        <v>channel 2</v>
      </c>
    </row>
    <row r="94">
      <c r="A94" s="7"/>
      <c r="B94" s="10" t="s">
        <v>380</v>
      </c>
      <c r="C94" s="12" t="s">
        <v>188</v>
      </c>
      <c r="D94" s="10" t="s">
        <v>379</v>
      </c>
      <c r="E94" s="32" t="str">
        <f>HYPERLINK("https://youtu.be/Kqtx9N08-I8?t=1080","channel 4")</f>
        <v>channel 4</v>
      </c>
    </row>
    <row r="95">
      <c r="A95" s="7"/>
      <c r="B95" s="10" t="s">
        <v>382</v>
      </c>
      <c r="C95" s="18" t="s">
        <v>311</v>
      </c>
      <c r="D95" s="10" t="s">
        <v>381</v>
      </c>
      <c r="E95" s="32" t="str">
        <f>HYPERLINK("https://youtu.be/hjfKe8r_o3U?t=1870","channel 2")</f>
        <v>channel 2</v>
      </c>
    </row>
    <row r="96">
      <c r="A96" s="7"/>
      <c r="B96" s="10" t="s">
        <v>380</v>
      </c>
      <c r="C96" s="12" t="s">
        <v>145</v>
      </c>
      <c r="D96" s="10" t="s">
        <v>378</v>
      </c>
      <c r="E96" s="32" t="str">
        <f>HYPERLINK("https://youtu.be/Kqtx9N08-I8?t=1972","channel 4")</f>
        <v>channel 4</v>
      </c>
    </row>
    <row r="97">
      <c r="A97" s="7"/>
      <c r="B97" s="10" t="s">
        <v>382</v>
      </c>
      <c r="C97" s="12" t="s">
        <v>89</v>
      </c>
      <c r="D97" s="10" t="s">
        <v>379</v>
      </c>
      <c r="E97" s="32" t="str">
        <f>HYPERLINK("https://youtu.be/hjfKe8r_o3U?t=2907","channel 2")</f>
        <v>channel 2</v>
      </c>
    </row>
    <row r="98">
      <c r="A98" s="7"/>
      <c r="B98" s="10" t="s">
        <v>381</v>
      </c>
      <c r="C98" s="12" t="s">
        <v>383</v>
      </c>
      <c r="D98" s="10" t="s">
        <v>378</v>
      </c>
      <c r="E98" s="32" t="str">
        <f>HYPERLINK("https://youtu.be/Kqtx9N08-I8?t=1972","channel 4")</f>
        <v>channel 4</v>
      </c>
    </row>
    <row r="99">
      <c r="A99" s="7"/>
      <c r="B99" s="10" t="s">
        <v>382</v>
      </c>
      <c r="C99" s="12" t="s">
        <v>30</v>
      </c>
      <c r="D99" s="10" t="s">
        <v>380</v>
      </c>
      <c r="E99" s="32" t="str">
        <f>HYPERLINK("https://youtu.be/hjfKe8r_o3U?t=3841","channel 2")</f>
        <v>channel 2</v>
      </c>
    </row>
    <row r="100">
      <c r="A100" s="7"/>
      <c r="B100" s="10" t="s">
        <v>381</v>
      </c>
      <c r="C100" s="12" t="s">
        <v>138</v>
      </c>
      <c r="D100" s="10" t="s">
        <v>379</v>
      </c>
      <c r="E100" s="32" t="str">
        <f>HYPERLINK("https://youtu.be/Kqtx9N08-I8?t=4061","channel 4")</f>
        <v>channel 4</v>
      </c>
    </row>
    <row r="101">
      <c r="A101" s="7"/>
      <c r="B101" s="10" t="s">
        <v>379</v>
      </c>
      <c r="C101" s="12" t="s">
        <v>384</v>
      </c>
      <c r="D101" s="10" t="s">
        <v>378</v>
      </c>
      <c r="E101" s="32" t="str">
        <f>HYPERLINK("https://youtu.be/hjfKe8r_o3U?t=4798","channel 2")</f>
        <v>channel 2</v>
      </c>
    </row>
    <row r="102">
      <c r="A102" s="7"/>
      <c r="B102" s="10" t="s">
        <v>381</v>
      </c>
      <c r="C102" s="12" t="s">
        <v>148</v>
      </c>
      <c r="D102" s="10" t="s">
        <v>380</v>
      </c>
      <c r="E102" s="32" t="str">
        <f>HYPERLINK("https://youtu.be/Kqtx9N08-I8?t=4991","channel 4")</f>
        <v>channel 4</v>
      </c>
    </row>
    <row r="103">
      <c r="A103" s="7"/>
      <c r="B103" s="10" t="s">
        <v>378</v>
      </c>
      <c r="C103" s="12" t="s">
        <v>385</v>
      </c>
      <c r="D103" s="10" t="s">
        <v>382</v>
      </c>
      <c r="E103" s="32" t="str">
        <f>HYPERLINK("https://youtu.be/hjfKe8r_o3U?t=4798","channel 2")</f>
        <v>channel 2</v>
      </c>
    </row>
    <row r="104">
      <c r="A104" s="7"/>
      <c r="B104" s="10" t="s">
        <v>379</v>
      </c>
      <c r="C104" s="12" t="s">
        <v>102</v>
      </c>
      <c r="D104" s="10" t="s">
        <v>380</v>
      </c>
      <c r="E104" s="32" t="str">
        <f>HYPERLINK("https://youtu.be/Kqtx9N08-I8?t=5919","channel 4")</f>
        <v>channel 4</v>
      </c>
    </row>
    <row r="105">
      <c r="A105" s="7"/>
      <c r="B105" s="10" t="s">
        <v>381</v>
      </c>
      <c r="C105" s="12" t="s">
        <v>10</v>
      </c>
      <c r="D105" s="10" t="s">
        <v>382</v>
      </c>
      <c r="E105" s="32" t="str">
        <f>HYPERLINK("https://youtu.be/hjfKe8r_o3U?t=6686","channel 2")</f>
        <v>channel 2</v>
      </c>
    </row>
    <row r="106">
      <c r="A106" s="7"/>
      <c r="B106" s="10" t="s">
        <v>378</v>
      </c>
      <c r="C106" s="12" t="s">
        <v>214</v>
      </c>
      <c r="D106" s="10" t="s">
        <v>380</v>
      </c>
      <c r="E106" s="32" t="str">
        <f>HYPERLINK("https://youtu.be/Kqtx9N08-I8?t=6839","channel 4")</f>
        <v>channel 4</v>
      </c>
    </row>
    <row r="107">
      <c r="A107" s="7"/>
      <c r="B107" s="10" t="s">
        <v>379</v>
      </c>
      <c r="C107" s="12" t="s">
        <v>59</v>
      </c>
      <c r="D107" s="10" t="s">
        <v>382</v>
      </c>
      <c r="E107" s="32" t="str">
        <f>HYPERLINK("https://youtu.be/hjfKe8r_o3U?t=7647","channel 2")</f>
        <v>channel 2</v>
      </c>
    </row>
    <row r="108">
      <c r="A108" s="7"/>
      <c r="B108" s="10" t="s">
        <v>378</v>
      </c>
      <c r="C108" s="12" t="s">
        <v>103</v>
      </c>
      <c r="D108" s="10" t="s">
        <v>381</v>
      </c>
      <c r="E108" s="32" t="str">
        <f>HYPERLINK("https://youtu.be/Kqtx9N08-I8?t=7818","channel 4")</f>
        <v>channel 4</v>
      </c>
    </row>
    <row r="109">
      <c r="A109" s="7"/>
      <c r="B109" s="10" t="s">
        <v>380</v>
      </c>
      <c r="C109" s="12" t="s">
        <v>57</v>
      </c>
      <c r="D109" s="10" t="s">
        <v>382</v>
      </c>
      <c r="E109" s="32" t="str">
        <f>HYPERLINK("https://youtu.be/hjfKe8r_o3U?t=8634","channel 2")</f>
        <v>channel 2</v>
      </c>
    </row>
    <row r="110">
      <c r="A110" s="7"/>
      <c r="B110" s="10" t="s">
        <v>379</v>
      </c>
      <c r="C110" s="12" t="s">
        <v>148</v>
      </c>
      <c r="D110" s="10" t="s">
        <v>381</v>
      </c>
      <c r="E110" s="32" t="str">
        <f>HYPERLINK("https://youtu.be/Kqtx9N08-I8?t=8750","channel 4")</f>
        <v>channel 4</v>
      </c>
    </row>
    <row r="111">
      <c r="A111" s="7"/>
      <c r="B111" s="6" t="s">
        <v>386</v>
      </c>
      <c r="C111" s="3"/>
      <c r="D111" s="4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387</v>
      </c>
      <c r="C113" s="12" t="s">
        <v>227</v>
      </c>
      <c r="D113" s="10" t="s">
        <v>388</v>
      </c>
      <c r="E113" s="32" t="str">
        <f>HYPERLINK("https://youtu.be/ijwe3Zcbd0E","channel 2")</f>
        <v>channel 2</v>
      </c>
    </row>
    <row r="114">
      <c r="A114" s="7"/>
      <c r="B114" s="10" t="s">
        <v>389</v>
      </c>
      <c r="C114" s="12" t="s">
        <v>10</v>
      </c>
      <c r="D114" s="10" t="s">
        <v>390</v>
      </c>
      <c r="E114" s="32" t="str">
        <f>HYPERLINK("https://youtu.be/ZuHF86NXxt8","channel 4")</f>
        <v>channel 4</v>
      </c>
    </row>
    <row r="115">
      <c r="A115" s="7"/>
      <c r="B115" s="10" t="s">
        <v>391</v>
      </c>
      <c r="C115" s="12" t="s">
        <v>241</v>
      </c>
      <c r="D115" s="10" t="s">
        <v>387</v>
      </c>
      <c r="E115" s="32" t="str">
        <f>HYPERLINK("https://youtu.be/ijwe3Zcbd0E?t=1003","channel 2")</f>
        <v>channel 2</v>
      </c>
    </row>
    <row r="116">
      <c r="A116" s="7"/>
      <c r="B116" s="10" t="s">
        <v>389</v>
      </c>
      <c r="C116" s="12" t="s">
        <v>383</v>
      </c>
      <c r="D116" s="10" t="s">
        <v>388</v>
      </c>
      <c r="E116" s="32" t="str">
        <f>HYPERLINK("https://youtu.be/ZuHF86NXxt8?t=1175","channel 4")</f>
        <v>channel 4</v>
      </c>
    </row>
    <row r="117">
      <c r="A117" s="7"/>
      <c r="B117" s="10" t="s">
        <v>391</v>
      </c>
      <c r="C117" s="12" t="s">
        <v>30</v>
      </c>
      <c r="D117" s="10" t="s">
        <v>390</v>
      </c>
      <c r="E117" s="32" t="str">
        <f>HYPERLINK("https://youtu.be/ijwe3Zcbd0E?t=1986","channel 2")</f>
        <v>channel 2</v>
      </c>
    </row>
    <row r="118">
      <c r="A118" s="7"/>
      <c r="B118" s="10" t="s">
        <v>389</v>
      </c>
      <c r="C118" s="12" t="s">
        <v>392</v>
      </c>
      <c r="D118" s="10" t="s">
        <v>387</v>
      </c>
      <c r="E118" s="32" t="str">
        <f>HYPERLINK("https://youtu.be/ZuHF86NXxt8?t=2124","channel 4")</f>
        <v>channel 4</v>
      </c>
    </row>
    <row r="119">
      <c r="A119" s="7"/>
      <c r="B119" s="10" t="s">
        <v>391</v>
      </c>
      <c r="C119" s="12" t="s">
        <v>281</v>
      </c>
      <c r="D119" s="10" t="s">
        <v>388</v>
      </c>
      <c r="E119" s="32" t="str">
        <f>HYPERLINK("https://youtu.be/ijwe3Zcbd0E?t=2972","channel 2")</f>
        <v>channel 2</v>
      </c>
    </row>
    <row r="120">
      <c r="A120" s="7"/>
      <c r="B120" s="10" t="s">
        <v>390</v>
      </c>
      <c r="C120" s="12" t="s">
        <v>310</v>
      </c>
      <c r="D120" s="10" t="s">
        <v>387</v>
      </c>
      <c r="E120" s="32" t="str">
        <f>HYPERLINK("https://youtu.be/ZuHF86NXxt8?t=3056","channel 4")</f>
        <v>channel 4</v>
      </c>
    </row>
    <row r="121">
      <c r="A121" s="7"/>
      <c r="B121" s="10" t="s">
        <v>391</v>
      </c>
      <c r="C121" s="12" t="s">
        <v>393</v>
      </c>
      <c r="D121" s="10" t="s">
        <v>389</v>
      </c>
      <c r="E121" s="32" t="str">
        <f>HYPERLINK("https://youtu.be/ijwe3Zcbd0E?t=3942","channel 2")</f>
        <v>channel 2</v>
      </c>
    </row>
    <row r="122">
      <c r="A122" s="7"/>
      <c r="B122" s="10" t="s">
        <v>390</v>
      </c>
      <c r="C122" s="12" t="s">
        <v>394</v>
      </c>
      <c r="D122" s="10" t="s">
        <v>388</v>
      </c>
      <c r="E122" s="32" t="str">
        <f>HYPERLINK("https://youtu.be/ZuHF86NXxt8?t=4202","channel 4")</f>
        <v>channel 4</v>
      </c>
    </row>
    <row r="123">
      <c r="A123" s="7"/>
      <c r="B123" s="10" t="s">
        <v>388</v>
      </c>
      <c r="C123" s="12" t="s">
        <v>395</v>
      </c>
      <c r="D123" s="10" t="s">
        <v>387</v>
      </c>
      <c r="E123" s="32" t="str">
        <f>HYPERLINK("https://youtu.be/ijwe3Zcbd0E?t=4966","channel 2")</f>
        <v>channel 2</v>
      </c>
    </row>
    <row r="124">
      <c r="A124" s="7"/>
      <c r="B124" s="10" t="s">
        <v>390</v>
      </c>
      <c r="C124" s="12" t="s">
        <v>396</v>
      </c>
      <c r="D124" s="10" t="s">
        <v>389</v>
      </c>
      <c r="E124" s="32" t="str">
        <f>HYPERLINK("https://youtu.be/ZuHF86NXxt8?t=5103","channel 4")</f>
        <v>channel 4</v>
      </c>
    </row>
    <row r="125">
      <c r="A125" s="7"/>
      <c r="B125" s="10" t="s">
        <v>387</v>
      </c>
      <c r="C125" s="12" t="s">
        <v>241</v>
      </c>
      <c r="D125" s="10" t="s">
        <v>391</v>
      </c>
      <c r="E125" s="32" t="str">
        <f>HYPERLINK("https://youtu.be/ijwe3Zcbd0E?t=5970","channel 2")</f>
        <v>channel 2</v>
      </c>
    </row>
    <row r="126">
      <c r="A126" s="7"/>
      <c r="B126" s="10" t="s">
        <v>388</v>
      </c>
      <c r="C126" s="12" t="s">
        <v>307</v>
      </c>
      <c r="D126" s="10" t="s">
        <v>389</v>
      </c>
      <c r="E126" s="32" t="str">
        <f>HYPERLINK("https://youtu.be/ZuHF86NXxt8?t=6075","channel 4")</f>
        <v>channel 4</v>
      </c>
    </row>
    <row r="127">
      <c r="A127" s="7"/>
      <c r="B127" s="10" t="s">
        <v>390</v>
      </c>
      <c r="C127" s="12" t="s">
        <v>281</v>
      </c>
      <c r="D127" s="10" t="s">
        <v>391</v>
      </c>
      <c r="E127" s="32" t="str">
        <f>HYPERLINK("https://youtu.be/ijwe3Zcbd0E?t=6917","channel 2")</f>
        <v>channel 2</v>
      </c>
    </row>
    <row r="128">
      <c r="A128" s="7"/>
      <c r="B128" s="10" t="s">
        <v>387</v>
      </c>
      <c r="C128" s="12" t="s">
        <v>392</v>
      </c>
      <c r="D128" s="10" t="s">
        <v>389</v>
      </c>
      <c r="E128" s="32" t="str">
        <f>HYPERLINK("https://youtu.be/ZuHF86NXxt8?t=6950","channel 4")</f>
        <v>channel 4</v>
      </c>
    </row>
    <row r="129">
      <c r="A129" s="7"/>
      <c r="B129" s="10" t="s">
        <v>388</v>
      </c>
      <c r="C129" s="12" t="s">
        <v>397</v>
      </c>
      <c r="D129" s="10" t="s">
        <v>391</v>
      </c>
      <c r="E129" s="32" t="str">
        <f>HYPERLINK("https://youtu.be/ijwe3Zcbd0E?t=7906","channel 2")</f>
        <v>channel 2</v>
      </c>
    </row>
    <row r="130">
      <c r="A130" s="7"/>
      <c r="B130" s="10" t="s">
        <v>387</v>
      </c>
      <c r="C130" s="12" t="s">
        <v>398</v>
      </c>
      <c r="D130" s="10" t="s">
        <v>390</v>
      </c>
      <c r="E130" s="32" t="str">
        <f>HYPERLINK("https://youtu.be/ZuHF86NXxt8?t=7953","channel 4")</f>
        <v>channel 4</v>
      </c>
    </row>
    <row r="131">
      <c r="A131" s="7"/>
      <c r="B131" s="10" t="s">
        <v>389</v>
      </c>
      <c r="C131" s="12" t="s">
        <v>399</v>
      </c>
      <c r="D131" s="10" t="s">
        <v>391</v>
      </c>
      <c r="E131" s="32" t="str">
        <f>HYPERLINK("https://youtu.be/ijwe3Zcbd0E?t=8842","channel 2")</f>
        <v>channel 2</v>
      </c>
    </row>
    <row r="132">
      <c r="A132" s="25"/>
      <c r="B132" s="10" t="s">
        <v>388</v>
      </c>
      <c r="C132" s="12" t="s">
        <v>97</v>
      </c>
      <c r="D132" s="10" t="s">
        <v>390</v>
      </c>
      <c r="E132" s="32" t="str">
        <f>HYPERLINK("https://youtu.be/ZuHF86NXxt8?t=8827","channel 4")</f>
        <v>channel 4</v>
      </c>
    </row>
    <row r="133">
      <c r="B133" s="30" t="s">
        <v>252</v>
      </c>
      <c r="C133" s="3"/>
      <c r="D133" s="4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400</v>
      </c>
      <c r="C135" s="18" t="s">
        <v>124</v>
      </c>
      <c r="D135" s="27" t="s">
        <v>401</v>
      </c>
      <c r="E135" s="13" t="str">
        <f>HYPERLINK("https://youtu.be/mBxpLoFPu7c","channel 1")</f>
        <v>channel 1</v>
      </c>
    </row>
    <row r="136">
      <c r="B136" s="27" t="s">
        <v>402</v>
      </c>
      <c r="C136" s="18" t="s">
        <v>316</v>
      </c>
      <c r="D136" s="27" t="s">
        <v>403</v>
      </c>
      <c r="E136" s="13" t="str">
        <f>HYPERLINK("https://youtu.be/yVuEmyhyqiI","channel 3")</f>
        <v>channel 3</v>
      </c>
    </row>
    <row r="137">
      <c r="B137" s="27" t="s">
        <v>404</v>
      </c>
      <c r="C137" s="18" t="s">
        <v>55</v>
      </c>
      <c r="D137" s="27" t="s">
        <v>400</v>
      </c>
      <c r="E137" s="13" t="str">
        <f>HYPERLINK("https://youtu.be/mBxpLoFPu7c?t=1085","channel 1")</f>
        <v>channel 1</v>
      </c>
    </row>
    <row r="138">
      <c r="B138" s="27" t="s">
        <v>402</v>
      </c>
      <c r="C138" s="18" t="s">
        <v>46</v>
      </c>
      <c r="D138" s="27" t="s">
        <v>401</v>
      </c>
      <c r="E138" s="13" t="str">
        <f>HYPERLINK("https://youtu.be/yVuEmyhyqiI?t=1018","channel 3")</f>
        <v>channel 3</v>
      </c>
    </row>
    <row r="139">
      <c r="B139" s="27" t="s">
        <v>404</v>
      </c>
      <c r="C139" s="18" t="s">
        <v>117</v>
      </c>
      <c r="D139" s="27" t="s">
        <v>403</v>
      </c>
      <c r="E139" s="13" t="str">
        <f>HYPERLINK("https://youtu.be/mBxpLoFPu7c?t=1959","channel 1")</f>
        <v>channel 1</v>
      </c>
    </row>
    <row r="140">
      <c r="B140" s="27" t="s">
        <v>402</v>
      </c>
      <c r="C140" s="18" t="s">
        <v>104</v>
      </c>
      <c r="D140" s="27" t="s">
        <v>400</v>
      </c>
      <c r="E140" s="13" t="str">
        <f>HYPERLINK("https://youtu.be/yVuEmyhyqiI?t=1965","channel 3")</f>
        <v>channel 3</v>
      </c>
    </row>
    <row r="141">
      <c r="B141" s="27" t="s">
        <v>404</v>
      </c>
      <c r="C141" s="18" t="s">
        <v>108</v>
      </c>
      <c r="D141" s="27" t="s">
        <v>401</v>
      </c>
      <c r="E141" s="13" t="str">
        <f>HYPERLINK("https://youtu.be/mBxpLoFPu7c?t=2833","channel 1")</f>
        <v>channel 1</v>
      </c>
    </row>
    <row r="142">
      <c r="B142" s="27" t="s">
        <v>403</v>
      </c>
      <c r="C142" s="18" t="s">
        <v>405</v>
      </c>
      <c r="D142" s="27" t="s">
        <v>400</v>
      </c>
      <c r="E142" s="13" t="str">
        <f>HYPERLINK("https://youtu.be/yVuEmyhyqiI?t=2957","channel 3")</f>
        <v>channel 3</v>
      </c>
    </row>
    <row r="143">
      <c r="B143" s="27" t="s">
        <v>404</v>
      </c>
      <c r="C143" s="18" t="s">
        <v>104</v>
      </c>
      <c r="D143" s="27" t="s">
        <v>402</v>
      </c>
      <c r="E143" s="13" t="str">
        <f>HYPERLINK("https://youtu.be/mBxpLoFPu7c?t=3785","channel 1")</f>
        <v>channel 1</v>
      </c>
    </row>
    <row r="144">
      <c r="B144" s="27" t="s">
        <v>403</v>
      </c>
      <c r="C144" s="18" t="s">
        <v>108</v>
      </c>
      <c r="D144" s="27" t="s">
        <v>401</v>
      </c>
      <c r="E144" s="13" t="str">
        <f>HYPERLINK("https://youtu.be/yVuEmyhyqiI?t=3892","channel 3")</f>
        <v>channel 3</v>
      </c>
    </row>
    <row r="145">
      <c r="B145" s="27" t="s">
        <v>401</v>
      </c>
      <c r="C145" s="18" t="s">
        <v>190</v>
      </c>
      <c r="D145" s="27" t="s">
        <v>400</v>
      </c>
      <c r="E145" s="13" t="str">
        <f>HYPERLINK("https://youtu.be/mBxpLoFPu7c?t=4851","channel 1")</f>
        <v>channel 1</v>
      </c>
    </row>
    <row r="146">
      <c r="B146" s="27" t="s">
        <v>403</v>
      </c>
      <c r="C146" s="18" t="s">
        <v>160</v>
      </c>
      <c r="D146" s="27" t="s">
        <v>402</v>
      </c>
      <c r="E146" s="13" t="str">
        <f>HYPERLINK("https://youtu.be/yVuEmyhyqiI?t=4835","channel 3")</f>
        <v>channel 3</v>
      </c>
    </row>
    <row r="147">
      <c r="B147" s="27" t="s">
        <v>400</v>
      </c>
      <c r="C147" s="18" t="s">
        <v>35</v>
      </c>
      <c r="D147" s="27" t="s">
        <v>404</v>
      </c>
      <c r="E147" s="13" t="str">
        <f>HYPERLINK("https://youtu.be/mBxpLoFPu7c?t=5836","channel 1")</f>
        <v>channel 1</v>
      </c>
    </row>
    <row r="148">
      <c r="B148" s="27" t="s">
        <v>401</v>
      </c>
      <c r="C148" s="18" t="s">
        <v>49</v>
      </c>
      <c r="D148" s="27" t="s">
        <v>402</v>
      </c>
      <c r="E148" s="13" t="str">
        <f>HYPERLINK("https://youtu.be/yVuEmyhyqiI?t=5807","channel 3")</f>
        <v>channel 3</v>
      </c>
    </row>
    <row r="149">
      <c r="B149" s="27" t="s">
        <v>403</v>
      </c>
      <c r="C149" s="18" t="s">
        <v>406</v>
      </c>
      <c r="D149" s="27" t="s">
        <v>404</v>
      </c>
      <c r="E149" s="13" t="str">
        <f>HYPERLINK("https://youtu.be/mBxpLoFPu7c?t=6764","channel 1")</f>
        <v>channel 1</v>
      </c>
    </row>
    <row r="150">
      <c r="B150" s="27" t="s">
        <v>400</v>
      </c>
      <c r="C150" s="18" t="s">
        <v>142</v>
      </c>
      <c r="D150" s="27" t="s">
        <v>402</v>
      </c>
      <c r="E150" s="13" t="str">
        <f>HYPERLINK("https://youtu.be/yVuEmyhyqiI?t=6727","channel 3")</f>
        <v>channel 3</v>
      </c>
    </row>
    <row r="151">
      <c r="B151" s="27" t="s">
        <v>401</v>
      </c>
      <c r="C151" s="18" t="s">
        <v>407</v>
      </c>
      <c r="D151" s="27" t="s">
        <v>404</v>
      </c>
      <c r="E151" s="13" t="str">
        <f>HYPERLINK("https://youtu.be/mBxpLoFPu7c?t=7658","channel 1")</f>
        <v>channel 1</v>
      </c>
    </row>
    <row r="152">
      <c r="B152" s="27" t="s">
        <v>400</v>
      </c>
      <c r="C152" s="18" t="s">
        <v>408</v>
      </c>
      <c r="D152" s="27" t="s">
        <v>403</v>
      </c>
      <c r="E152" s="13" t="str">
        <f>HYPERLINK("https://youtu.be/yVuEmyhyqiI?t=7647","channel 3")</f>
        <v>channel 3</v>
      </c>
    </row>
    <row r="153">
      <c r="B153" s="27" t="s">
        <v>402</v>
      </c>
      <c r="C153" s="18" t="s">
        <v>36</v>
      </c>
      <c r="D153" s="27" t="s">
        <v>404</v>
      </c>
      <c r="E153" s="13" t="str">
        <f>HYPERLINK("https://youtu.be/mBxpLoFPu7c?t=8599","channel 1")</f>
        <v>channel 1</v>
      </c>
    </row>
    <row r="154">
      <c r="B154" s="27" t="s">
        <v>401</v>
      </c>
      <c r="C154" s="18" t="s">
        <v>239</v>
      </c>
      <c r="D154" s="27" t="s">
        <v>403</v>
      </c>
      <c r="E154" s="13" t="str">
        <f>HYPERLINK("https://youtu.be/yVuEmyhyqiI?t=8608","channel 3")</f>
        <v>channel 3</v>
      </c>
    </row>
    <row r="155">
      <c r="B155" s="30" t="s">
        <v>409</v>
      </c>
      <c r="C155" s="3"/>
      <c r="D155" s="4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410</v>
      </c>
      <c r="C157" s="18" t="s">
        <v>156</v>
      </c>
      <c r="D157" s="27" t="s">
        <v>411</v>
      </c>
      <c r="E157" s="14" t="s">
        <v>26</v>
      </c>
    </row>
    <row r="158">
      <c r="B158" s="27" t="s">
        <v>162</v>
      </c>
      <c r="C158" s="18" t="s">
        <v>297</v>
      </c>
      <c r="D158" s="27" t="s">
        <v>412</v>
      </c>
      <c r="E158" s="13" t="str">
        <f>HYPERLINK("https://youtu.be/-ZRexXFb3eY","channel 3")</f>
        <v>channel 3</v>
      </c>
    </row>
    <row r="159">
      <c r="B159" s="27" t="s">
        <v>413</v>
      </c>
      <c r="C159" s="18" t="s">
        <v>414</v>
      </c>
      <c r="D159" s="27" t="s">
        <v>410</v>
      </c>
      <c r="E159" s="14" t="s">
        <v>26</v>
      </c>
    </row>
    <row r="160">
      <c r="B160" s="27" t="s">
        <v>162</v>
      </c>
      <c r="C160" s="18" t="s">
        <v>97</v>
      </c>
      <c r="D160" s="27" t="s">
        <v>411</v>
      </c>
      <c r="E160" s="13" t="str">
        <f>HYPERLINK("https://youtu.be/-ZRexXFb3eY?t=960","channel 3")</f>
        <v>channel 3</v>
      </c>
    </row>
    <row r="161">
      <c r="B161" s="27" t="s">
        <v>413</v>
      </c>
      <c r="C161" s="18" t="s">
        <v>415</v>
      </c>
      <c r="D161" s="27" t="s">
        <v>412</v>
      </c>
      <c r="E161" s="14" t="s">
        <v>26</v>
      </c>
    </row>
    <row r="162">
      <c r="B162" s="27" t="s">
        <v>162</v>
      </c>
      <c r="C162" s="18" t="s">
        <v>212</v>
      </c>
      <c r="D162" s="27" t="s">
        <v>410</v>
      </c>
      <c r="E162" s="13" t="str">
        <f>HYPERLINK("https://youtu.be/-ZRexXFb3eY?t=1922","channel 3")</f>
        <v>channel 3</v>
      </c>
    </row>
    <row r="163">
      <c r="B163" s="27" t="s">
        <v>413</v>
      </c>
      <c r="C163" s="18" t="s">
        <v>74</v>
      </c>
      <c r="D163" s="27" t="s">
        <v>411</v>
      </c>
      <c r="E163" s="14" t="s">
        <v>26</v>
      </c>
    </row>
    <row r="164">
      <c r="B164" s="27" t="s">
        <v>412</v>
      </c>
      <c r="C164" s="18" t="s">
        <v>280</v>
      </c>
      <c r="D164" s="27" t="s">
        <v>410</v>
      </c>
      <c r="E164" s="13" t="str">
        <f>HYPERLINK("https://youtu.be/-ZRexXFb3eY?t=2937","channel 3")</f>
        <v>channel 3</v>
      </c>
    </row>
    <row r="165">
      <c r="B165" s="27" t="s">
        <v>413</v>
      </c>
      <c r="C165" s="18" t="s">
        <v>416</v>
      </c>
      <c r="D165" s="27" t="s">
        <v>162</v>
      </c>
      <c r="E165" s="14" t="s">
        <v>26</v>
      </c>
    </row>
    <row r="166">
      <c r="B166" s="27" t="s">
        <v>412</v>
      </c>
      <c r="C166" s="18" t="s">
        <v>418</v>
      </c>
      <c r="D166" s="27" t="s">
        <v>411</v>
      </c>
      <c r="E166" s="13" t="str">
        <f>HYPERLINK("https://youtu.be/-ZRexXFb3eY?t=3858","channel 3")</f>
        <v>channel 3</v>
      </c>
    </row>
    <row r="167">
      <c r="B167" s="27" t="s">
        <v>411</v>
      </c>
      <c r="C167" s="18" t="s">
        <v>160</v>
      </c>
      <c r="D167" s="27" t="s">
        <v>410</v>
      </c>
      <c r="E167" s="14" t="s">
        <v>26</v>
      </c>
    </row>
    <row r="168">
      <c r="B168" s="27" t="s">
        <v>412</v>
      </c>
      <c r="C168" s="18" t="s">
        <v>420</v>
      </c>
      <c r="D168" s="27" t="s">
        <v>162</v>
      </c>
      <c r="E168" s="13" t="str">
        <f>HYPERLINK("https://youtu.be/-ZRexXFb3eY?t=4770","channel 3")</f>
        <v>channel 3</v>
      </c>
    </row>
    <row r="169">
      <c r="B169" s="27" t="s">
        <v>410</v>
      </c>
      <c r="C169" s="18" t="s">
        <v>422</v>
      </c>
      <c r="D169" s="27" t="s">
        <v>413</v>
      </c>
      <c r="E169" s="14" t="s">
        <v>26</v>
      </c>
    </row>
    <row r="170">
      <c r="B170" s="27" t="s">
        <v>411</v>
      </c>
      <c r="C170" s="18" t="s">
        <v>223</v>
      </c>
      <c r="D170" s="27" t="s">
        <v>162</v>
      </c>
      <c r="E170" s="13" t="str">
        <f>HYPERLINK("https://youtu.be/-ZRexXFb3eY?t=5744","channel 3")</f>
        <v>channel 3</v>
      </c>
    </row>
    <row r="171">
      <c r="B171" s="27" t="s">
        <v>412</v>
      </c>
      <c r="C171" s="18" t="s">
        <v>423</v>
      </c>
      <c r="D171" s="27" t="s">
        <v>413</v>
      </c>
      <c r="E171" s="14" t="s">
        <v>26</v>
      </c>
    </row>
    <row r="172">
      <c r="B172" s="27" t="s">
        <v>410</v>
      </c>
      <c r="C172" s="18" t="s">
        <v>144</v>
      </c>
      <c r="D172" s="27" t="s">
        <v>162</v>
      </c>
      <c r="E172" s="13" t="str">
        <f>HYPERLINK("https://youtu.be/-ZRexXFb3eY?t=6678","channel 3")</f>
        <v>channel 3</v>
      </c>
    </row>
    <row r="173">
      <c r="B173" s="27" t="s">
        <v>411</v>
      </c>
      <c r="C173" s="18" t="s">
        <v>82</v>
      </c>
      <c r="D173" s="27" t="s">
        <v>413</v>
      </c>
      <c r="E173" s="14" t="s">
        <v>26</v>
      </c>
    </row>
    <row r="174">
      <c r="B174" s="27" t="s">
        <v>410</v>
      </c>
      <c r="C174" s="18" t="s">
        <v>20</v>
      </c>
      <c r="D174" s="27" t="s">
        <v>412</v>
      </c>
      <c r="E174" s="13" t="str">
        <f>HYPERLINK("https://youtu.be/-ZRexXFb3eY?t=7607","channel 3")</f>
        <v>channel 3</v>
      </c>
    </row>
    <row r="175">
      <c r="B175" s="27" t="s">
        <v>162</v>
      </c>
      <c r="C175" s="18" t="s">
        <v>424</v>
      </c>
      <c r="D175" s="27" t="s">
        <v>413</v>
      </c>
      <c r="E175" s="14" t="s">
        <v>26</v>
      </c>
    </row>
    <row r="176">
      <c r="B176" s="27" t="s">
        <v>411</v>
      </c>
      <c r="C176" s="18" t="s">
        <v>261</v>
      </c>
      <c r="D176" s="27" t="s">
        <v>412</v>
      </c>
      <c r="E176" s="13" t="str">
        <f>HYPERLINK("https://youtu.be/-ZRexXFb3eY?t=8527","channel 3")</f>
        <v>channel 3</v>
      </c>
    </row>
    <row r="177">
      <c r="B177" s="30" t="s">
        <v>425</v>
      </c>
      <c r="C177" s="3"/>
      <c r="D177" s="4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426</v>
      </c>
      <c r="C179" s="18" t="s">
        <v>204</v>
      </c>
      <c r="D179" s="27" t="s">
        <v>427</v>
      </c>
      <c r="E179" s="32" t="str">
        <f>HYPERLINK("https://youtu.be/uJGSShBvxmM","channel 2")</f>
        <v>channel 2</v>
      </c>
    </row>
    <row r="180">
      <c r="B180" s="27" t="s">
        <v>428</v>
      </c>
      <c r="C180" s="18" t="s">
        <v>179</v>
      </c>
      <c r="D180" s="27" t="s">
        <v>429</v>
      </c>
      <c r="E180" s="32" t="str">
        <f>HYPERLINK("https://youtu.be/sCzcNw4wL6o","channel 4")</f>
        <v>channel 4</v>
      </c>
    </row>
    <row r="181">
      <c r="B181" s="27" t="s">
        <v>430</v>
      </c>
      <c r="C181" s="18" t="s">
        <v>106</v>
      </c>
      <c r="D181" s="27" t="s">
        <v>426</v>
      </c>
      <c r="E181" s="32" t="str">
        <f>HYPERLINK("https://youtu.be/uJGSShBvxmM?t=882","channel 2")</f>
        <v>channel 2</v>
      </c>
    </row>
    <row r="182">
      <c r="B182" s="27" t="s">
        <v>428</v>
      </c>
      <c r="C182" s="18" t="s">
        <v>59</v>
      </c>
      <c r="D182" s="27" t="s">
        <v>427</v>
      </c>
      <c r="E182" s="32" t="str">
        <f>HYPERLINK("https://youtu.be/sCzcNw4wL6o?t=933","channel 4")</f>
        <v>channel 4</v>
      </c>
    </row>
    <row r="183">
      <c r="B183" s="27" t="s">
        <v>430</v>
      </c>
      <c r="C183" s="18" t="s">
        <v>193</v>
      </c>
      <c r="D183" s="27" t="s">
        <v>429</v>
      </c>
      <c r="E183" s="32" t="str">
        <f>HYPERLINK("https://youtu.be/uJGSShBvxmM?t=1832","channel 2")</f>
        <v>channel 2</v>
      </c>
    </row>
    <row r="184">
      <c r="B184" s="27" t="s">
        <v>428</v>
      </c>
      <c r="C184" s="18" t="s">
        <v>157</v>
      </c>
      <c r="D184" s="27" t="s">
        <v>426</v>
      </c>
      <c r="E184" s="32" t="str">
        <f>HYPERLINK("https://youtu.be/sCzcNw4wL6o?t=1861","channel 4")</f>
        <v>channel 4</v>
      </c>
    </row>
    <row r="185">
      <c r="B185" s="27" t="s">
        <v>430</v>
      </c>
      <c r="C185" s="18" t="s">
        <v>337</v>
      </c>
      <c r="D185" s="27" t="s">
        <v>427</v>
      </c>
      <c r="E185" s="32" t="str">
        <f>HYPERLINK("https://youtu.be/uJGSShBvxmM?t=2715","channel 2")</f>
        <v>channel 2</v>
      </c>
    </row>
    <row r="186">
      <c r="B186" s="27" t="s">
        <v>429</v>
      </c>
      <c r="C186" s="18" t="s">
        <v>24</v>
      </c>
      <c r="D186" s="27" t="s">
        <v>426</v>
      </c>
      <c r="E186" s="32" t="str">
        <f>HYPERLINK("https://youtu.be/sCzcNw4wL6o?t=2810","channel 4")</f>
        <v>channel 4</v>
      </c>
    </row>
    <row r="187">
      <c r="B187" s="27" t="s">
        <v>430</v>
      </c>
      <c r="C187" s="18" t="s">
        <v>18</v>
      </c>
      <c r="D187" s="27" t="s">
        <v>428</v>
      </c>
      <c r="E187" s="32" t="str">
        <f>HYPERLINK("https://youtu.be/uJGSShBvxmM?t=3607","channel 2")</f>
        <v>channel 2</v>
      </c>
    </row>
    <row r="188">
      <c r="B188" s="27" t="s">
        <v>429</v>
      </c>
      <c r="C188" s="18" t="s">
        <v>435</v>
      </c>
      <c r="D188" s="27" t="s">
        <v>427</v>
      </c>
      <c r="E188" s="32" t="str">
        <f>HYPERLINK("https://youtu.be/sCzcNw4wL6o?t=3649","channel 4")</f>
        <v>channel 4</v>
      </c>
    </row>
    <row r="189">
      <c r="B189" s="27" t="s">
        <v>427</v>
      </c>
      <c r="C189" s="18" t="s">
        <v>163</v>
      </c>
      <c r="D189" s="27" t="s">
        <v>426</v>
      </c>
      <c r="E189" s="32" t="str">
        <f>HYPERLINK("https://youtu.be/uJGSShBvxmM?t=4554","channel 2")</f>
        <v>channel 2</v>
      </c>
    </row>
    <row r="190">
      <c r="B190" s="27" t="s">
        <v>429</v>
      </c>
      <c r="C190" s="18" t="s">
        <v>47</v>
      </c>
      <c r="D190" s="27" t="s">
        <v>428</v>
      </c>
      <c r="E190" s="32" t="str">
        <f>HYPERLINK("https://youtu.be/sCzcNw4wL6o?t=4566","channel 4")</f>
        <v>channel 4</v>
      </c>
    </row>
    <row r="191">
      <c r="B191" s="27" t="s">
        <v>426</v>
      </c>
      <c r="C191" s="18" t="s">
        <v>180</v>
      </c>
      <c r="D191" s="27" t="s">
        <v>430</v>
      </c>
      <c r="E191" s="32" t="str">
        <f>HYPERLINK("https://youtu.be/uJGSShBvxmM?t=5467","channel 2")</f>
        <v>channel 2</v>
      </c>
    </row>
    <row r="192">
      <c r="B192" s="27" t="s">
        <v>427</v>
      </c>
      <c r="C192" s="18" t="s">
        <v>117</v>
      </c>
      <c r="D192" s="27" t="s">
        <v>428</v>
      </c>
      <c r="E192" s="32" t="str">
        <f>HYPERLINK("https://youtu.be/sCzcNw4wL6o?t=5482","channel 4")</f>
        <v>channel 4</v>
      </c>
    </row>
    <row r="193">
      <c r="B193" s="27" t="s">
        <v>429</v>
      </c>
      <c r="C193" s="18" t="s">
        <v>156</v>
      </c>
      <c r="D193" s="27" t="s">
        <v>430</v>
      </c>
      <c r="E193" s="32" t="str">
        <f>HYPERLINK("https://youtu.be/uJGSShBvxmM?t=6356","channel 2")</f>
        <v>channel 2</v>
      </c>
    </row>
    <row r="194">
      <c r="B194" s="27" t="s">
        <v>426</v>
      </c>
      <c r="C194" s="18" t="s">
        <v>43</v>
      </c>
      <c r="D194" s="27" t="s">
        <v>428</v>
      </c>
      <c r="E194" s="32" t="str">
        <f>HYPERLINK("https://youtu.be/sCzcNw4wL6o?t=6423","channel 4")</f>
        <v>channel 4</v>
      </c>
    </row>
    <row r="195">
      <c r="B195" s="27" t="s">
        <v>427</v>
      </c>
      <c r="C195" s="18" t="s">
        <v>239</v>
      </c>
      <c r="D195" s="27" t="s">
        <v>430</v>
      </c>
      <c r="E195" s="32" t="str">
        <f>HYPERLINK("https://youtu.be/uJGSShBvxmM?t=7226","channel 2")</f>
        <v>channel 2</v>
      </c>
    </row>
    <row r="196">
      <c r="B196" s="27" t="s">
        <v>426</v>
      </c>
      <c r="C196" s="18" t="s">
        <v>34</v>
      </c>
      <c r="D196" s="27" t="s">
        <v>429</v>
      </c>
      <c r="E196" s="32" t="str">
        <f>HYPERLINK("https://youtu.be/sCzcNw4wL6o?t=7332","channel 4")</f>
        <v>channel 4</v>
      </c>
    </row>
    <row r="197">
      <c r="B197" s="27" t="s">
        <v>428</v>
      </c>
      <c r="C197" s="18" t="s">
        <v>210</v>
      </c>
      <c r="D197" s="27" t="s">
        <v>430</v>
      </c>
      <c r="E197" s="32" t="str">
        <f>HYPERLINK("https://youtu.be/uJGSShBvxmM?t=8114","channel 2")</f>
        <v>channel 2</v>
      </c>
    </row>
    <row r="198">
      <c r="B198" s="27" t="s">
        <v>427</v>
      </c>
      <c r="C198" s="18" t="s">
        <v>141</v>
      </c>
      <c r="D198" s="27" t="s">
        <v>429</v>
      </c>
      <c r="E198" s="32" t="str">
        <f>HYPERLINK("https://youtu.be/sCzcNw4wL6o?t=8207","channel 4")</f>
        <v>channel 4</v>
      </c>
    </row>
    <row r="199">
      <c r="B199" s="30" t="s">
        <v>320</v>
      </c>
      <c r="C199" s="3"/>
      <c r="D199" s="4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446</v>
      </c>
      <c r="C201" s="18" t="s">
        <v>278</v>
      </c>
      <c r="D201" s="27" t="s">
        <v>447</v>
      </c>
      <c r="E201" s="32" t="str">
        <f>HYPERLINK("https://youtu.be/EzAouMX1Yzc","channel 2")</f>
        <v>channel 2</v>
      </c>
    </row>
    <row r="202">
      <c r="B202" s="27" t="s">
        <v>448</v>
      </c>
      <c r="C202" s="18" t="s">
        <v>33</v>
      </c>
      <c r="D202" s="27" t="s">
        <v>450</v>
      </c>
      <c r="E202" s="32" t="str">
        <f>HYPERLINK("https://youtu.be/rGs45dSxR9A","channel 4")</f>
        <v>channel 4</v>
      </c>
    </row>
    <row r="203">
      <c r="B203" s="27" t="s">
        <v>454</v>
      </c>
      <c r="C203" s="18" t="s">
        <v>57</v>
      </c>
      <c r="D203" s="27" t="s">
        <v>446</v>
      </c>
      <c r="E203" s="32" t="str">
        <f>HYPERLINK("https://youtu.be/EzAouMX1Yzc?t=1079","channel 2")</f>
        <v>channel 2</v>
      </c>
    </row>
    <row r="204">
      <c r="B204" s="27" t="s">
        <v>448</v>
      </c>
      <c r="C204" s="18" t="s">
        <v>109</v>
      </c>
      <c r="D204" s="27" t="s">
        <v>447</v>
      </c>
      <c r="E204" s="32" t="str">
        <f>HYPERLINK("https://youtu.be/rGs45dSxR9A?t=1175","channel 4")</f>
        <v>channel 4</v>
      </c>
    </row>
    <row r="205">
      <c r="B205" s="27" t="s">
        <v>454</v>
      </c>
      <c r="C205" s="18" t="s">
        <v>97</v>
      </c>
      <c r="D205" s="27" t="s">
        <v>450</v>
      </c>
      <c r="E205" s="32" t="str">
        <f>HYPERLINK("https://youtu.be/EzAouMX1Yzc?t=1986","channel 2")</f>
        <v>channel 2</v>
      </c>
    </row>
    <row r="206">
      <c r="B206" s="27" t="s">
        <v>448</v>
      </c>
      <c r="C206" s="18" t="s">
        <v>47</v>
      </c>
      <c r="D206" s="27" t="s">
        <v>446</v>
      </c>
      <c r="E206" s="32" t="str">
        <f>HYPERLINK("https://youtu.be/rGs45dSxR9A?t=2012","channel 4")</f>
        <v>channel 4</v>
      </c>
    </row>
    <row r="207">
      <c r="B207" s="27" t="s">
        <v>454</v>
      </c>
      <c r="C207" s="18" t="s">
        <v>30</v>
      </c>
      <c r="D207" s="27" t="s">
        <v>447</v>
      </c>
      <c r="E207" s="32" t="str">
        <f>HYPERLINK("https://youtu.be/EzAouMX1Yzc?t=2844","channel 2")</f>
        <v>channel 2</v>
      </c>
    </row>
    <row r="208">
      <c r="B208" s="27" t="s">
        <v>450</v>
      </c>
      <c r="C208" s="18" t="s">
        <v>461</v>
      </c>
      <c r="D208" s="27" t="s">
        <v>446</v>
      </c>
      <c r="E208" s="32" t="str">
        <f>HYPERLINK("https://youtu.be/rGs45dSxR9A?t=2916","channel 4")</f>
        <v>channel 4</v>
      </c>
    </row>
    <row r="209">
      <c r="B209" s="27" t="s">
        <v>454</v>
      </c>
      <c r="C209" s="18" t="s">
        <v>213</v>
      </c>
      <c r="D209" s="27" t="s">
        <v>448</v>
      </c>
      <c r="E209" s="32" t="str">
        <f>HYPERLINK("https://youtu.be/EzAouMX1Yzc?t=3731","channel 2")</f>
        <v>channel 2</v>
      </c>
    </row>
    <row r="210">
      <c r="B210" s="27" t="s">
        <v>450</v>
      </c>
      <c r="C210" s="18" t="s">
        <v>24</v>
      </c>
      <c r="D210" s="27" t="s">
        <v>447</v>
      </c>
      <c r="E210" s="32" t="str">
        <f>HYPERLINK("https://youtu.be/rGs45dSxR9A?t=3798","channel 4")</f>
        <v>channel 4</v>
      </c>
    </row>
    <row r="211">
      <c r="B211" s="27" t="s">
        <v>447</v>
      </c>
      <c r="C211" s="18" t="s">
        <v>37</v>
      </c>
      <c r="D211" s="27" t="s">
        <v>446</v>
      </c>
      <c r="E211" s="32" t="str">
        <f>HYPERLINK("https://youtu.be/EzAouMX1Yzc?t=4658","channel 2")</f>
        <v>channel 2</v>
      </c>
    </row>
    <row r="212">
      <c r="B212" s="27" t="s">
        <v>450</v>
      </c>
      <c r="C212" s="18" t="s">
        <v>141</v>
      </c>
      <c r="D212" s="27" t="s">
        <v>448</v>
      </c>
      <c r="E212" s="32" t="str">
        <f>HYPERLINK("https://youtu.be/rGs45dSxR9A?t=4695","channel 4")</f>
        <v>channel 4</v>
      </c>
    </row>
    <row r="213">
      <c r="B213" s="27" t="s">
        <v>446</v>
      </c>
      <c r="C213" s="18" t="s">
        <v>469</v>
      </c>
      <c r="D213" s="27" t="s">
        <v>454</v>
      </c>
      <c r="E213" s="32" t="str">
        <f>HYPERLINK("https://youtu.be/EzAouMX1Yzc?t=5560","channel 2")</f>
        <v>channel 2</v>
      </c>
    </row>
    <row r="214">
      <c r="B214" s="27" t="s">
        <v>447</v>
      </c>
      <c r="C214" s="18" t="s">
        <v>32</v>
      </c>
      <c r="D214" s="27" t="s">
        <v>448</v>
      </c>
      <c r="E214" s="32" t="str">
        <f>HYPERLINK("https://youtu.be/rGs45dSxR9A?t=5648","channel 4")</f>
        <v>channel 4</v>
      </c>
    </row>
    <row r="215">
      <c r="B215" s="27" t="s">
        <v>450</v>
      </c>
      <c r="C215" s="18" t="s">
        <v>142</v>
      </c>
      <c r="D215" s="27" t="s">
        <v>454</v>
      </c>
      <c r="E215" s="32" t="str">
        <f>HYPERLINK("https://youtu.be/EzAouMX1Yzc?t=6639","channel 2")</f>
        <v>channel 2</v>
      </c>
    </row>
    <row r="216">
      <c r="B216" s="27" t="s">
        <v>446</v>
      </c>
      <c r="C216" s="18" t="s">
        <v>145</v>
      </c>
      <c r="D216" s="27" t="s">
        <v>448</v>
      </c>
      <c r="E216" s="32" t="str">
        <f>HYPERLINK("https://youtu.be/rGs45dSxR9A?t=6673","channel 4")</f>
        <v>channel 4</v>
      </c>
    </row>
    <row r="217">
      <c r="B217" s="27" t="s">
        <v>447</v>
      </c>
      <c r="C217" s="18" t="s">
        <v>117</v>
      </c>
      <c r="D217" s="27" t="s">
        <v>454</v>
      </c>
      <c r="E217" s="32" t="str">
        <f>HYPERLINK("https://youtu.be/EzAouMX1Yzc?t=7548","channel 2")</f>
        <v>channel 2</v>
      </c>
    </row>
    <row r="218">
      <c r="B218" s="27" t="s">
        <v>446</v>
      </c>
      <c r="C218" s="18" t="s">
        <v>117</v>
      </c>
      <c r="D218" s="27" t="s">
        <v>450</v>
      </c>
      <c r="E218" s="32" t="str">
        <f>HYPERLINK("https://youtu.be/rGs45dSxR9A?t=7639","channel 4")</f>
        <v>channel 4</v>
      </c>
    </row>
    <row r="219">
      <c r="B219" s="27" t="s">
        <v>448</v>
      </c>
      <c r="C219" s="18" t="s">
        <v>109</v>
      </c>
      <c r="D219" s="27" t="s">
        <v>454</v>
      </c>
      <c r="E219" s="32" t="str">
        <f>HYPERLINK("https://youtu.be/EzAouMX1Yzc?t=8494","channel 2")</f>
        <v>channel 2</v>
      </c>
    </row>
    <row r="220">
      <c r="B220" s="27" t="s">
        <v>447</v>
      </c>
      <c r="C220" s="18" t="s">
        <v>104</v>
      </c>
      <c r="D220" s="27" t="s">
        <v>450</v>
      </c>
      <c r="E220" s="32" t="str">
        <f>HYPERLINK("https://youtu.be/rGs45dSxR9A?t=8573","channel 4")</f>
        <v>channel 4</v>
      </c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282</v>
      </c>
      <c r="C3" s="12" t="s">
        <v>74</v>
      </c>
      <c r="D3" s="28" t="s">
        <v>417</v>
      </c>
      <c r="E3" s="36" t="str">
        <f>HYPERLINK("https://youtu.be/PcKiCgUNb6s","channel 2")</f>
        <v>channel 2</v>
      </c>
    </row>
    <row r="4">
      <c r="A4" s="7"/>
      <c r="B4" s="28" t="s">
        <v>419</v>
      </c>
      <c r="C4" s="37" t="s">
        <v>37</v>
      </c>
      <c r="D4" s="28" t="s">
        <v>421</v>
      </c>
      <c r="E4" s="13" t="str">
        <f>HYPERLINK("https://youtu.be/jPrkTzjeYtE","channel 4")</f>
        <v>channel 4</v>
      </c>
    </row>
    <row r="5">
      <c r="A5" s="7"/>
      <c r="B5" s="28" t="s">
        <v>354</v>
      </c>
      <c r="C5" s="12" t="s">
        <v>157</v>
      </c>
      <c r="D5" s="28" t="s">
        <v>282</v>
      </c>
      <c r="E5" s="36" t="str">
        <f>HYPERLINK("https://youtu.be/PcKiCgUNb6s?t=967","channel 2")</f>
        <v>channel 2</v>
      </c>
    </row>
    <row r="6">
      <c r="A6" s="7"/>
      <c r="B6" s="28" t="s">
        <v>419</v>
      </c>
      <c r="C6" s="12" t="s">
        <v>146</v>
      </c>
      <c r="D6" s="28" t="s">
        <v>417</v>
      </c>
      <c r="E6" s="13" t="str">
        <f>HYPERLINK("https://youtu.be/jPrkTzjeYtE?t=989","channel 4")</f>
        <v>channel 4</v>
      </c>
    </row>
    <row r="7">
      <c r="A7" s="7"/>
      <c r="B7" s="28" t="s">
        <v>354</v>
      </c>
      <c r="C7" s="12" t="s">
        <v>46</v>
      </c>
      <c r="D7" s="28" t="s">
        <v>421</v>
      </c>
      <c r="E7" s="36" t="str">
        <f>HYPERLINK("https://youtu.be/PcKiCgUNb6s?t=1921","channel 2")</f>
        <v>channel 2</v>
      </c>
    </row>
    <row r="8">
      <c r="A8" s="7"/>
      <c r="B8" s="28" t="s">
        <v>419</v>
      </c>
      <c r="C8" s="12" t="s">
        <v>44</v>
      </c>
      <c r="D8" s="28" t="s">
        <v>282</v>
      </c>
      <c r="E8" s="13" t="str">
        <f>HYPERLINK("https://youtu.be/jPrkTzjeYtE?t=2015","channel 4")</f>
        <v>channel 4</v>
      </c>
    </row>
    <row r="9">
      <c r="A9" s="7"/>
      <c r="B9" s="28" t="s">
        <v>354</v>
      </c>
      <c r="C9" s="12" t="s">
        <v>93</v>
      </c>
      <c r="D9" s="28" t="s">
        <v>417</v>
      </c>
      <c r="E9" s="36" t="str">
        <f>HYPERLINK("https://youtu.be/PcKiCgUNb6s?t=2967","channel 2")</f>
        <v>channel 2</v>
      </c>
    </row>
    <row r="10">
      <c r="A10" s="7"/>
      <c r="B10" s="28" t="s">
        <v>421</v>
      </c>
      <c r="C10" s="12" t="s">
        <v>108</v>
      </c>
      <c r="D10" s="28" t="s">
        <v>282</v>
      </c>
      <c r="E10" s="13" t="str">
        <f>HYPERLINK("https://youtu.be/jPrkTzjeYtE?t=3030","channel 4")</f>
        <v>channel 4</v>
      </c>
    </row>
    <row r="11">
      <c r="A11" s="7"/>
      <c r="B11" s="28" t="s">
        <v>354</v>
      </c>
      <c r="C11" s="12" t="s">
        <v>77</v>
      </c>
      <c r="D11" s="28" t="s">
        <v>419</v>
      </c>
      <c r="E11" s="36" t="str">
        <f>HYPERLINK("https://youtu.be/PcKiCgUNb6s?t=3930","channel 2")</f>
        <v>channel 2</v>
      </c>
    </row>
    <row r="12">
      <c r="A12" s="7"/>
      <c r="B12" s="28" t="s">
        <v>421</v>
      </c>
      <c r="C12" s="12" t="s">
        <v>339</v>
      </c>
      <c r="D12" s="28" t="s">
        <v>417</v>
      </c>
      <c r="E12" s="13" t="str">
        <f>HYPERLINK("https://youtu.be/jPrkTzjeYtE?t=3954","channel 4")</f>
        <v>channel 4</v>
      </c>
    </row>
    <row r="13">
      <c r="A13" s="7"/>
      <c r="B13" s="28" t="s">
        <v>417</v>
      </c>
      <c r="C13" s="12" t="s">
        <v>108</v>
      </c>
      <c r="D13" s="28" t="s">
        <v>282</v>
      </c>
      <c r="E13" s="36" t="str">
        <f>HYPERLINK("https://youtu.be/PcKiCgUNb6s?t=4911","channel 2")</f>
        <v>channel 2</v>
      </c>
    </row>
    <row r="14">
      <c r="A14" s="7"/>
      <c r="B14" s="28" t="s">
        <v>421</v>
      </c>
      <c r="C14" s="38" t="s">
        <v>88</v>
      </c>
      <c r="D14" s="28" t="s">
        <v>419</v>
      </c>
      <c r="E14" s="13" t="str">
        <f>HYPERLINK("https://youtu.be/jPrkTzjeYtE?t=4937","channel 4")</f>
        <v>channel 4</v>
      </c>
    </row>
    <row r="15">
      <c r="A15" s="7"/>
      <c r="B15" s="28" t="s">
        <v>282</v>
      </c>
      <c r="C15" s="38" t="s">
        <v>59</v>
      </c>
      <c r="D15" s="28" t="s">
        <v>354</v>
      </c>
      <c r="E15" s="36" t="str">
        <f>HYPERLINK("https://youtu.be/PcKiCgUNb6s?t=5872","channel 2")</f>
        <v>channel 2</v>
      </c>
    </row>
    <row r="16">
      <c r="A16" s="7"/>
      <c r="B16" s="28" t="s">
        <v>417</v>
      </c>
      <c r="C16" s="12" t="s">
        <v>196</v>
      </c>
      <c r="D16" s="28" t="s">
        <v>419</v>
      </c>
      <c r="E16" s="13" t="str">
        <f>HYPERLINK("https://youtu.be/jPrkTzjeYtE?t=5899","channel 4")</f>
        <v>channel 4</v>
      </c>
    </row>
    <row r="17">
      <c r="A17" s="7"/>
      <c r="B17" s="28" t="s">
        <v>421</v>
      </c>
      <c r="C17" s="12" t="s">
        <v>108</v>
      </c>
      <c r="D17" s="28" t="s">
        <v>354</v>
      </c>
      <c r="E17" s="36" t="str">
        <f>HYPERLINK("https://youtu.be/PcKiCgUNb6s?t=6820","channel 2")</f>
        <v>channel 2</v>
      </c>
    </row>
    <row r="18">
      <c r="A18" s="7"/>
      <c r="B18" s="28" t="s">
        <v>282</v>
      </c>
      <c r="C18" s="12" t="s">
        <v>180</v>
      </c>
      <c r="D18" s="28" t="s">
        <v>419</v>
      </c>
      <c r="E18" s="13" t="str">
        <f>HYPERLINK("https://youtu.be/jPrkTzjeYtE?t=6882","channel 4")</f>
        <v>channel 4</v>
      </c>
    </row>
    <row r="19">
      <c r="A19" s="7"/>
      <c r="B19" s="28" t="s">
        <v>417</v>
      </c>
      <c r="C19" s="12" t="s">
        <v>232</v>
      </c>
      <c r="D19" s="28" t="s">
        <v>354</v>
      </c>
      <c r="E19" s="36" t="str">
        <f>HYPERLINK("https://youtu.be/PcKiCgUNb6s?t=7763","channel 2")</f>
        <v>channel 2</v>
      </c>
    </row>
    <row r="20">
      <c r="A20" s="7"/>
      <c r="B20" s="28" t="s">
        <v>282</v>
      </c>
      <c r="C20" s="12" t="s">
        <v>124</v>
      </c>
      <c r="D20" s="28" t="s">
        <v>421</v>
      </c>
      <c r="E20" s="13" t="str">
        <f>HYPERLINK("https://youtu.be/jPrkTzjeYtE?t=7778","channel 4")</f>
        <v>channel 4</v>
      </c>
    </row>
    <row r="21">
      <c r="A21" s="7"/>
      <c r="B21" s="28" t="s">
        <v>419</v>
      </c>
      <c r="C21" s="12" t="s">
        <v>322</v>
      </c>
      <c r="D21" s="28" t="s">
        <v>354</v>
      </c>
      <c r="E21" s="36" t="str">
        <f>HYPERLINK("https://youtu.be/PcKiCgUNb6s?t=8764","channel 2")</f>
        <v>channel 2</v>
      </c>
    </row>
    <row r="22">
      <c r="A22" s="7"/>
      <c r="B22" s="28" t="s">
        <v>417</v>
      </c>
      <c r="C22" s="12" t="s">
        <v>437</v>
      </c>
      <c r="D22" s="28" t="s">
        <v>421</v>
      </c>
      <c r="E22" s="13" t="str">
        <f>HYPERLINK("https://youtu.be/jPrkTzjeYtE?t=8772","channel 4")</f>
        <v>channel 4</v>
      </c>
    </row>
    <row r="23">
      <c r="A23" s="7"/>
      <c r="B23" s="2" t="s">
        <v>438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439</v>
      </c>
      <c r="C25" s="12" t="s">
        <v>104</v>
      </c>
      <c r="D25" s="28" t="s">
        <v>440</v>
      </c>
      <c r="E25" s="36" t="str">
        <f>HYPERLINK("https://youtu.be/IZwRWot9qqQ","channel 2")</f>
        <v>channel 2</v>
      </c>
    </row>
    <row r="26">
      <c r="A26" s="7"/>
      <c r="B26" s="28" t="s">
        <v>441</v>
      </c>
      <c r="C26" s="12" t="s">
        <v>442</v>
      </c>
      <c r="D26" s="28" t="s">
        <v>443</v>
      </c>
      <c r="E26" s="13" t="str">
        <f>HYPERLINK("https://youtu.be/CSsLPA3jO8o","channel 4")</f>
        <v>channel 4</v>
      </c>
    </row>
    <row r="27">
      <c r="A27" s="7"/>
      <c r="B27" s="28" t="s">
        <v>445</v>
      </c>
      <c r="C27" s="12" t="s">
        <v>148</v>
      </c>
      <c r="D27" s="28" t="s">
        <v>439</v>
      </c>
      <c r="E27" s="36" t="str">
        <f>HYPERLINK("https://youtu.be/IZwRWot9qqQ?t=1010","channel 2")</f>
        <v>channel 2</v>
      </c>
    </row>
    <row r="28">
      <c r="A28" s="7"/>
      <c r="B28" s="28" t="s">
        <v>441</v>
      </c>
      <c r="C28" s="12" t="s">
        <v>108</v>
      </c>
      <c r="D28" s="28" t="s">
        <v>440</v>
      </c>
      <c r="E28" s="13" t="str">
        <f>HYPERLINK("https://youtu.be/CSsLPA3jO8o?t=957","channel 4")</f>
        <v>channel 4</v>
      </c>
    </row>
    <row r="29">
      <c r="A29" s="7"/>
      <c r="B29" s="28" t="s">
        <v>445</v>
      </c>
      <c r="C29" s="12" t="s">
        <v>32</v>
      </c>
      <c r="D29" s="28" t="s">
        <v>443</v>
      </c>
      <c r="E29" s="36" t="str">
        <f>HYPERLINK("https://youtu.be/IZwRWot9qqQ?t=1954","channel 2")</f>
        <v>channel 2</v>
      </c>
    </row>
    <row r="30">
      <c r="A30" s="7"/>
      <c r="B30" s="28" t="s">
        <v>441</v>
      </c>
      <c r="C30" s="12" t="s">
        <v>27</v>
      </c>
      <c r="D30" s="28" t="s">
        <v>439</v>
      </c>
      <c r="E30" s="13" t="str">
        <f>HYPERLINK("https://youtu.be/CSsLPA3jO8o?t=1932","channel 4")</f>
        <v>channel 4</v>
      </c>
    </row>
    <row r="31">
      <c r="A31" s="7"/>
      <c r="B31" s="28" t="s">
        <v>445</v>
      </c>
      <c r="C31" s="12" t="s">
        <v>108</v>
      </c>
      <c r="D31" s="28" t="s">
        <v>440</v>
      </c>
      <c r="E31" s="36" t="str">
        <f>HYPERLINK("https://youtu.be/IZwRWot9qqQ?t=3001","channel 2")</f>
        <v>channel 2</v>
      </c>
    </row>
    <row r="32">
      <c r="A32" s="7"/>
      <c r="B32" s="28" t="s">
        <v>443</v>
      </c>
      <c r="C32" s="12" t="s">
        <v>194</v>
      </c>
      <c r="D32" s="28" t="s">
        <v>439</v>
      </c>
      <c r="E32" s="13" t="str">
        <f>HYPERLINK("https://youtu.be/CSsLPA3jO8o?t=3037","channel 4")</f>
        <v>channel 4</v>
      </c>
    </row>
    <row r="33">
      <c r="A33" s="7"/>
      <c r="B33" s="28" t="s">
        <v>445</v>
      </c>
      <c r="C33" s="12" t="s">
        <v>375</v>
      </c>
      <c r="D33" s="28" t="s">
        <v>441</v>
      </c>
      <c r="E33" s="36" t="str">
        <f>HYPERLINK("https://youtu.be/IZwRWot9qqQ?t=3951","channel 2")</f>
        <v>channel 2</v>
      </c>
    </row>
    <row r="34">
      <c r="A34" s="7"/>
      <c r="B34" s="28" t="s">
        <v>443</v>
      </c>
      <c r="C34" s="12" t="s">
        <v>255</v>
      </c>
      <c r="D34" s="28" t="s">
        <v>440</v>
      </c>
      <c r="E34" s="13" t="str">
        <f>HYPERLINK("https://youtu.be/CSsLPA3jO8o?t=4049","channel 4")</f>
        <v>channel 4</v>
      </c>
    </row>
    <row r="35">
      <c r="A35" s="7"/>
      <c r="B35" s="28" t="s">
        <v>440</v>
      </c>
      <c r="C35" s="12" t="s">
        <v>102</v>
      </c>
      <c r="D35" s="28" t="s">
        <v>439</v>
      </c>
      <c r="E35" s="36" t="str">
        <f>HYPERLINK("https://youtu.be/IZwRWot9qqQ?t=4907","channel 2")</f>
        <v>channel 2</v>
      </c>
    </row>
    <row r="36">
      <c r="A36" s="7"/>
      <c r="B36" s="28" t="s">
        <v>443</v>
      </c>
      <c r="C36" s="12" t="s">
        <v>31</v>
      </c>
      <c r="D36" s="28" t="s">
        <v>441</v>
      </c>
      <c r="E36" s="13" t="str">
        <f>HYPERLINK("https://youtu.be/CSsLPA3jO8o?t=4989","channel 4")</f>
        <v>channel 4</v>
      </c>
    </row>
    <row r="37">
      <c r="A37" s="7"/>
      <c r="B37" s="28" t="s">
        <v>439</v>
      </c>
      <c r="C37" s="12" t="s">
        <v>46</v>
      </c>
      <c r="D37" s="28" t="s">
        <v>445</v>
      </c>
      <c r="E37" s="36" t="str">
        <f>HYPERLINK("https://youtu.be/IZwRWot9qqQ?t=5949","channel 2")</f>
        <v>channel 2</v>
      </c>
    </row>
    <row r="38">
      <c r="A38" s="7"/>
      <c r="B38" s="28" t="s">
        <v>440</v>
      </c>
      <c r="C38" s="12" t="s">
        <v>455</v>
      </c>
      <c r="D38" s="28" t="s">
        <v>441</v>
      </c>
      <c r="E38" s="13" t="str">
        <f>HYPERLINK("https://youtu.be/CSsLPA3jO8o?t=5972","channel 4")</f>
        <v>channel 4</v>
      </c>
    </row>
    <row r="39">
      <c r="A39" s="7"/>
      <c r="B39" s="28" t="s">
        <v>443</v>
      </c>
      <c r="C39" s="18" t="s">
        <v>37</v>
      </c>
      <c r="D39" s="28" t="s">
        <v>445</v>
      </c>
      <c r="E39" s="36" t="str">
        <f>HYPERLINK("https://youtu.be/IZwRWot9qqQ?t=6904","channel 2")</f>
        <v>channel 2</v>
      </c>
    </row>
    <row r="40">
      <c r="A40" s="7"/>
      <c r="B40" s="28" t="s">
        <v>439</v>
      </c>
      <c r="C40" s="12" t="s">
        <v>457</v>
      </c>
      <c r="D40" s="28" t="s">
        <v>441</v>
      </c>
      <c r="E40" s="13" t="str">
        <f>HYPERLINK("https://youtu.be/CSsLPA3jO8o?t=6918","channel 4")</f>
        <v>channel 4</v>
      </c>
    </row>
    <row r="41">
      <c r="A41" s="7"/>
      <c r="B41" s="28" t="s">
        <v>440</v>
      </c>
      <c r="C41" s="12" t="s">
        <v>47</v>
      </c>
      <c r="D41" s="28" t="s">
        <v>445</v>
      </c>
      <c r="E41" s="36" t="str">
        <f>HYPERLINK("https://youtu.be/IZwRWot9qqQ?t=7875","channel 2")</f>
        <v>channel 2</v>
      </c>
    </row>
    <row r="42">
      <c r="A42" s="7"/>
      <c r="B42" s="28" t="s">
        <v>439</v>
      </c>
      <c r="C42" s="12" t="s">
        <v>458</v>
      </c>
      <c r="D42" s="28" t="s">
        <v>443</v>
      </c>
      <c r="E42" s="13" t="str">
        <f>HYPERLINK("https://youtu.be/CSsLPA3jO8o?t=7871","channel 4")</f>
        <v>channel 4</v>
      </c>
    </row>
    <row r="43">
      <c r="A43" s="7"/>
      <c r="B43" s="28" t="s">
        <v>441</v>
      </c>
      <c r="C43" s="12" t="s">
        <v>459</v>
      </c>
      <c r="D43" s="28" t="s">
        <v>445</v>
      </c>
      <c r="E43" s="36" t="str">
        <f>HYPERLINK("https://youtu.be/IZwRWot9qqQ?t=8798","channel 2")</f>
        <v>channel 2</v>
      </c>
    </row>
    <row r="44">
      <c r="A44" s="7"/>
      <c r="B44" s="28" t="s">
        <v>440</v>
      </c>
      <c r="C44" s="12" t="s">
        <v>462</v>
      </c>
      <c r="D44" s="28" t="s">
        <v>443</v>
      </c>
      <c r="E44" s="13" t="str">
        <f>HYPERLINK("https://youtu.be/CSsLPA3jO8o?t=8826","channel 4")</f>
        <v>channel 4</v>
      </c>
    </row>
    <row r="45">
      <c r="A45" s="7"/>
      <c r="B45" s="2" t="s">
        <v>112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463</v>
      </c>
      <c r="C47" s="12" t="s">
        <v>418</v>
      </c>
      <c r="D47" s="28" t="s">
        <v>464</v>
      </c>
      <c r="E47" s="36" t="str">
        <f>HYPERLINK("https://youtu.be/CrzKPvRxopI","channel 2")</f>
        <v>channel 2</v>
      </c>
    </row>
    <row r="48">
      <c r="A48" s="7"/>
      <c r="B48" s="28" t="s">
        <v>465</v>
      </c>
      <c r="C48" s="12" t="s">
        <v>466</v>
      </c>
      <c r="D48" s="28" t="s">
        <v>467</v>
      </c>
      <c r="E48" s="13" t="str">
        <f>HYPERLINK("https://youtu.be/Lmy5QdgI-OI","channel 4")</f>
        <v>channel 4</v>
      </c>
    </row>
    <row r="49">
      <c r="A49" s="7"/>
      <c r="B49" s="28" t="s">
        <v>468</v>
      </c>
      <c r="C49" s="12" t="s">
        <v>278</v>
      </c>
      <c r="D49" s="28" t="s">
        <v>463</v>
      </c>
      <c r="E49" s="36" t="str">
        <f>HYPERLINK("https://youtu.be/CrzKPvRxopI?t=1000","channel 2")</f>
        <v>channel 2</v>
      </c>
    </row>
    <row r="50">
      <c r="A50" s="7"/>
      <c r="B50" s="28" t="s">
        <v>465</v>
      </c>
      <c r="C50" s="12" t="s">
        <v>74</v>
      </c>
      <c r="D50" s="28" t="s">
        <v>464</v>
      </c>
      <c r="E50" s="13" t="str">
        <f>HYPERLINK("https://youtu.be/Lmy5QdgI-OI?t=1028","channel 4")</f>
        <v>channel 4</v>
      </c>
    </row>
    <row r="51">
      <c r="A51" s="7"/>
      <c r="B51" s="28" t="s">
        <v>468</v>
      </c>
      <c r="C51" s="12" t="s">
        <v>470</v>
      </c>
      <c r="D51" s="28" t="s">
        <v>467</v>
      </c>
      <c r="E51" s="36" t="str">
        <f>HYPERLINK("https://youtu.be/CrzKPvRxopI?t=1932","channel 2")</f>
        <v>channel 2</v>
      </c>
    </row>
    <row r="52">
      <c r="A52" s="7"/>
      <c r="B52" s="28" t="s">
        <v>465</v>
      </c>
      <c r="C52" s="12" t="s">
        <v>340</v>
      </c>
      <c r="D52" s="28" t="s">
        <v>463</v>
      </c>
      <c r="E52" s="13" t="str">
        <f>HYPERLINK("https://youtu.be/Lmy5QdgI-OI?t=2028","channel 4")</f>
        <v>channel 4</v>
      </c>
    </row>
    <row r="53">
      <c r="A53" s="7"/>
      <c r="B53" s="28" t="s">
        <v>468</v>
      </c>
      <c r="C53" s="12" t="s">
        <v>46</v>
      </c>
      <c r="D53" s="28" t="s">
        <v>464</v>
      </c>
      <c r="E53" s="36" t="str">
        <f>HYPERLINK("https://youtu.be/CrzKPvRxopI?t=2946","channel 2")</f>
        <v>channel 2</v>
      </c>
    </row>
    <row r="54">
      <c r="A54" s="7"/>
      <c r="B54" s="28" t="s">
        <v>467</v>
      </c>
      <c r="C54" s="12" t="s">
        <v>471</v>
      </c>
      <c r="D54" s="28" t="s">
        <v>463</v>
      </c>
      <c r="E54" s="13" t="str">
        <f>HYPERLINK("https://youtu.be/Lmy5QdgI-OI?t=2946","channel 4")</f>
        <v>channel 4</v>
      </c>
    </row>
    <row r="55">
      <c r="A55" s="7"/>
      <c r="B55" s="28" t="s">
        <v>468</v>
      </c>
      <c r="C55" s="12" t="s">
        <v>148</v>
      </c>
      <c r="D55" s="28" t="s">
        <v>465</v>
      </c>
      <c r="E55" s="36" t="str">
        <f>HYPERLINK("https://youtu.be/CrzKPvRxopI?t=3857","channel 2")</f>
        <v>channel 2</v>
      </c>
    </row>
    <row r="56">
      <c r="A56" s="7"/>
      <c r="B56" s="28" t="s">
        <v>467</v>
      </c>
      <c r="C56" s="12" t="s">
        <v>372</v>
      </c>
      <c r="D56" s="28" t="s">
        <v>464</v>
      </c>
      <c r="E56" s="13" t="str">
        <f>HYPERLINK("https://youtu.be/Lmy5QdgI-OI?t=3938","channel 4")</f>
        <v>channel 4</v>
      </c>
    </row>
    <row r="57">
      <c r="A57" s="7"/>
      <c r="B57" s="28" t="s">
        <v>464</v>
      </c>
      <c r="C57" s="12" t="s">
        <v>365</v>
      </c>
      <c r="D57" s="28" t="s">
        <v>463</v>
      </c>
      <c r="E57" s="36" t="str">
        <f>HYPERLINK("https://youtu.be/CrzKPvRxopI?t=4818","channel 2")</f>
        <v>channel 2</v>
      </c>
    </row>
    <row r="58">
      <c r="A58" s="7"/>
      <c r="B58" s="28" t="s">
        <v>467</v>
      </c>
      <c r="C58" s="12" t="s">
        <v>472</v>
      </c>
      <c r="D58" s="28" t="s">
        <v>465</v>
      </c>
      <c r="E58" s="13" t="str">
        <f>HYPERLINK("https://youtu.be/Lmy5QdgI-OI?t=4883","channel 4")</f>
        <v>channel 4</v>
      </c>
    </row>
    <row r="59">
      <c r="A59" s="7"/>
      <c r="B59" s="28" t="s">
        <v>463</v>
      </c>
      <c r="C59" s="12" t="s">
        <v>77</v>
      </c>
      <c r="D59" s="28" t="s">
        <v>468</v>
      </c>
      <c r="E59" s="36" t="str">
        <f>HYPERLINK("https://youtu.be/CrzKPvRxopI?t=5729","channel 2")</f>
        <v>channel 2</v>
      </c>
    </row>
    <row r="60">
      <c r="A60" s="7"/>
      <c r="B60" s="28" t="s">
        <v>464</v>
      </c>
      <c r="C60" s="12" t="s">
        <v>38</v>
      </c>
      <c r="D60" s="28" t="s">
        <v>465</v>
      </c>
      <c r="E60" s="13" t="str">
        <f>HYPERLINK("https://youtu.be/Lmy5QdgI-OI?t=5825","channel 4")</f>
        <v>channel 4</v>
      </c>
    </row>
    <row r="61">
      <c r="A61" s="7"/>
      <c r="B61" s="28" t="s">
        <v>467</v>
      </c>
      <c r="C61" s="12" t="s">
        <v>103</v>
      </c>
      <c r="D61" s="28" t="s">
        <v>468</v>
      </c>
      <c r="E61" s="36" t="str">
        <f>HYPERLINK("https://youtu.be/CrzKPvRxopI?t=6714","channel 2")</f>
        <v>channel 2</v>
      </c>
    </row>
    <row r="62">
      <c r="A62" s="7"/>
      <c r="B62" s="28" t="s">
        <v>463</v>
      </c>
      <c r="C62" s="18" t="s">
        <v>339</v>
      </c>
      <c r="D62" s="28" t="s">
        <v>465</v>
      </c>
      <c r="E62" s="13" t="str">
        <f>HYPERLINK("https://youtu.be/Lmy5QdgI-OI?t=6754","channel 4")</f>
        <v>channel 4</v>
      </c>
    </row>
    <row r="63">
      <c r="A63" s="7"/>
      <c r="B63" s="28" t="s">
        <v>464</v>
      </c>
      <c r="C63" s="12" t="s">
        <v>85</v>
      </c>
      <c r="D63" s="28" t="s">
        <v>468</v>
      </c>
      <c r="E63" s="36" t="str">
        <f>HYPERLINK("https://youtu.be/CrzKPvRxopI?t=7712","channel 2")</f>
        <v>channel 2</v>
      </c>
    </row>
    <row r="64">
      <c r="A64" s="7"/>
      <c r="B64" s="28" t="s">
        <v>463</v>
      </c>
      <c r="C64" s="12" t="s">
        <v>477</v>
      </c>
      <c r="D64" s="28" t="s">
        <v>467</v>
      </c>
      <c r="E64" s="13" t="str">
        <f>HYPERLINK("https://youtu.be/Lmy5QdgI-OI?t=7656","channel 4")</f>
        <v>channel 4</v>
      </c>
    </row>
    <row r="65">
      <c r="A65" s="7"/>
      <c r="B65" s="28" t="s">
        <v>465</v>
      </c>
      <c r="C65" s="12" t="s">
        <v>103</v>
      </c>
      <c r="D65" s="28" t="s">
        <v>468</v>
      </c>
      <c r="E65" s="36" t="str">
        <f>HYPERLINK("https://youtu.be/CrzKPvRxopI?t=8574","channel 2")</f>
        <v>channel 2</v>
      </c>
    </row>
    <row r="66">
      <c r="A66" s="7"/>
      <c r="B66" s="28" t="s">
        <v>464</v>
      </c>
      <c r="C66" s="12" t="s">
        <v>40</v>
      </c>
      <c r="D66" s="28" t="s">
        <v>467</v>
      </c>
      <c r="E66" s="13" t="str">
        <f>HYPERLINK("https://youtu.be/Lmy5QdgI-OI?t=8584","channel 4")</f>
        <v>channel 4</v>
      </c>
    </row>
    <row r="67">
      <c r="A67" s="7"/>
      <c r="B67" s="4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479</v>
      </c>
      <c r="C69" s="12" t="s">
        <v>398</v>
      </c>
      <c r="D69" s="28" t="s">
        <v>480</v>
      </c>
      <c r="E69" s="36" t="str">
        <f>HYPERLINK("https://youtu.be/cEJ50AoWFPQ","channel 2")</f>
        <v>channel 2</v>
      </c>
    </row>
    <row r="70">
      <c r="A70" s="7"/>
      <c r="B70" s="28" t="s">
        <v>481</v>
      </c>
      <c r="C70" s="12" t="s">
        <v>18</v>
      </c>
      <c r="D70" s="28" t="s">
        <v>482</v>
      </c>
      <c r="E70" s="13" t="str">
        <f>HYPERLINK("https://youtu.be/EcIkyzb7QsM","channel 4")</f>
        <v>channel 4</v>
      </c>
    </row>
    <row r="71">
      <c r="A71" s="7"/>
      <c r="B71" s="28" t="s">
        <v>483</v>
      </c>
      <c r="C71" s="12" t="s">
        <v>347</v>
      </c>
      <c r="D71" s="28" t="s">
        <v>479</v>
      </c>
      <c r="E71" s="36" t="str">
        <f>HYPERLINK("https://youtu.be/cEJ50AoWFPQ?t=974","channel 2")</f>
        <v>channel 2</v>
      </c>
    </row>
    <row r="72">
      <c r="A72" s="7"/>
      <c r="B72" s="28" t="s">
        <v>481</v>
      </c>
      <c r="C72" s="12" t="s">
        <v>484</v>
      </c>
      <c r="D72" s="28" t="s">
        <v>480</v>
      </c>
      <c r="E72" s="13" t="str">
        <f>HYPERLINK("https://youtu.be/EcIkyzb7QsM?t=1085","channel 4")</f>
        <v>channel 4</v>
      </c>
    </row>
    <row r="73">
      <c r="A73" s="7"/>
      <c r="B73" s="28" t="s">
        <v>483</v>
      </c>
      <c r="C73" s="12" t="s">
        <v>97</v>
      </c>
      <c r="D73" s="28" t="s">
        <v>482</v>
      </c>
      <c r="E73" s="36" t="str">
        <f>HYPERLINK("https://youtu.be/cEJ50AoWFPQ?t=1937","channel 2")</f>
        <v>channel 2</v>
      </c>
    </row>
    <row r="74">
      <c r="A74" s="7"/>
      <c r="B74" s="28" t="s">
        <v>481</v>
      </c>
      <c r="C74" s="12" t="s">
        <v>214</v>
      </c>
      <c r="D74" s="28" t="s">
        <v>479</v>
      </c>
      <c r="E74" s="13" t="str">
        <f>HYPERLINK("https://youtu.be/EcIkyzb7QsM?t=2009","channel 4")</f>
        <v>channel 4</v>
      </c>
    </row>
    <row r="75">
      <c r="A75" s="7"/>
      <c r="B75" s="28" t="s">
        <v>483</v>
      </c>
      <c r="C75" s="12" t="s">
        <v>362</v>
      </c>
      <c r="D75" s="28" t="s">
        <v>480</v>
      </c>
      <c r="E75" s="36" t="str">
        <f>HYPERLINK("https://youtu.be/cEJ50AoWFPQ?t=2945","channel 2")</f>
        <v>channel 2</v>
      </c>
    </row>
    <row r="76">
      <c r="A76" s="7"/>
      <c r="B76" s="28" t="s">
        <v>482</v>
      </c>
      <c r="C76" s="12" t="s">
        <v>24</v>
      </c>
      <c r="D76" s="28" t="s">
        <v>479</v>
      </c>
      <c r="E76" s="13" t="str">
        <f>HYPERLINK("https://youtu.be/EcIkyzb7QsM?t=2947","channel 4")</f>
        <v>channel 4</v>
      </c>
    </row>
    <row r="77">
      <c r="A77" s="7"/>
      <c r="B77" s="28" t="s">
        <v>483</v>
      </c>
      <c r="C77" s="12" t="s">
        <v>485</v>
      </c>
      <c r="D77" s="28" t="s">
        <v>481</v>
      </c>
      <c r="E77" s="36" t="str">
        <f>HYPERLINK("https://youtu.be/cEJ50AoWFPQ?t=4035","channel 2")</f>
        <v>channel 2</v>
      </c>
    </row>
    <row r="78">
      <c r="A78" s="7"/>
      <c r="B78" s="28" t="s">
        <v>482</v>
      </c>
      <c r="C78" s="12" t="s">
        <v>89</v>
      </c>
      <c r="D78" s="28" t="s">
        <v>480</v>
      </c>
      <c r="E78" s="13" t="str">
        <f>HYPERLINK("https://youtu.be/EcIkyzb7QsM?t=4082","channel 4")</f>
        <v>channel 4</v>
      </c>
    </row>
    <row r="79">
      <c r="A79" s="7"/>
      <c r="B79" s="28" t="s">
        <v>480</v>
      </c>
      <c r="C79" s="12" t="s">
        <v>375</v>
      </c>
      <c r="D79" s="28" t="s">
        <v>479</v>
      </c>
      <c r="E79" s="36" t="str">
        <f>HYPERLINK("https://youtu.be/cEJ50AoWFPQ?t=4964","channel 2")</f>
        <v>channel 2</v>
      </c>
    </row>
    <row r="80">
      <c r="A80" s="7"/>
      <c r="B80" s="28" t="s">
        <v>482</v>
      </c>
      <c r="C80" s="12" t="s">
        <v>228</v>
      </c>
      <c r="D80" s="28" t="s">
        <v>481</v>
      </c>
      <c r="E80" s="13" t="str">
        <f>HYPERLINK("https://youtu.be/EcIkyzb7QsM?t=5026","channel 4")</f>
        <v>channel 4</v>
      </c>
    </row>
    <row r="81">
      <c r="A81" s="7"/>
      <c r="B81" s="28" t="s">
        <v>479</v>
      </c>
      <c r="C81" s="12" t="s">
        <v>277</v>
      </c>
      <c r="D81" s="28" t="s">
        <v>483</v>
      </c>
      <c r="E81" s="36" t="str">
        <f>HYPERLINK("https://youtu.be/cEJ50AoWFPQ?t=5884","channel 2")</f>
        <v>channel 2</v>
      </c>
    </row>
    <row r="82">
      <c r="A82" s="7"/>
      <c r="B82" s="28" t="s">
        <v>480</v>
      </c>
      <c r="C82" s="12" t="s">
        <v>180</v>
      </c>
      <c r="D82" s="28" t="s">
        <v>481</v>
      </c>
      <c r="E82" s="13" t="str">
        <f>HYPERLINK("https://youtu.be/EcIkyzb7QsM?t=5926","channel 4")</f>
        <v>channel 4</v>
      </c>
    </row>
    <row r="83">
      <c r="A83" s="7"/>
      <c r="B83" s="28" t="s">
        <v>482</v>
      </c>
      <c r="C83" s="12" t="s">
        <v>350</v>
      </c>
      <c r="D83" s="28" t="s">
        <v>483</v>
      </c>
      <c r="E83" s="36" t="str">
        <f>HYPERLINK("https://youtu.be/cEJ50AoWFPQ?t=6847","channel 2")</f>
        <v>channel 2</v>
      </c>
    </row>
    <row r="84">
      <c r="A84" s="7"/>
      <c r="B84" s="28" t="s">
        <v>479</v>
      </c>
      <c r="C84" s="12" t="s">
        <v>491</v>
      </c>
      <c r="D84" s="28" t="s">
        <v>481</v>
      </c>
      <c r="E84" s="13" t="str">
        <f>HYPERLINK("https://youtu.be/EcIkyzb7QsM?t=6823","channel 4")</f>
        <v>channel 4</v>
      </c>
    </row>
    <row r="85">
      <c r="A85" s="7"/>
      <c r="B85" s="28" t="s">
        <v>480</v>
      </c>
      <c r="C85" s="12" t="s">
        <v>311</v>
      </c>
      <c r="D85" s="28" t="s">
        <v>483</v>
      </c>
      <c r="E85" s="36" t="str">
        <f>HYPERLINK("https://youtu.be/cEJ50AoWFPQ?t=7770","channel 2")</f>
        <v>channel 2</v>
      </c>
    </row>
    <row r="86">
      <c r="A86" s="7"/>
      <c r="B86" s="28" t="s">
        <v>479</v>
      </c>
      <c r="C86" s="12" t="s">
        <v>418</v>
      </c>
      <c r="D86" s="28" t="s">
        <v>482</v>
      </c>
      <c r="E86" s="13" t="str">
        <f>HYPERLINK("https://youtu.be/EcIkyzb7QsM?t=7790","channel 4")</f>
        <v>channel 4</v>
      </c>
    </row>
    <row r="87">
      <c r="A87" s="7"/>
      <c r="B87" s="28" t="s">
        <v>481</v>
      </c>
      <c r="C87" s="12" t="s">
        <v>322</v>
      </c>
      <c r="D87" s="28" t="s">
        <v>483</v>
      </c>
      <c r="E87" s="36" t="str">
        <f>HYPERLINK("https://youtu.be/cEJ50AoWFPQ?t=8680","channel 2")</f>
        <v>channel 2</v>
      </c>
    </row>
    <row r="88">
      <c r="A88" s="7"/>
      <c r="B88" s="28" t="s">
        <v>480</v>
      </c>
      <c r="C88" s="12" t="s">
        <v>495</v>
      </c>
      <c r="D88" s="28" t="s">
        <v>482</v>
      </c>
      <c r="E88" s="13" t="str">
        <f>HYPERLINK("https://youtu.be/EcIkyzb7QsM?t=8696","channel 4")</f>
        <v>channel 4</v>
      </c>
    </row>
    <row r="89">
      <c r="A89" s="7"/>
      <c r="B89" s="2" t="s">
        <v>497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5" t="s">
        <v>499</v>
      </c>
      <c r="C91" s="12" t="s">
        <v>148</v>
      </c>
      <c r="D91" s="28" t="s">
        <v>501</v>
      </c>
      <c r="E91" s="36" t="str">
        <f>HYPERLINK("https://youtu.be/xNhjvCk1qsM","channel 2")</f>
        <v>channel 2</v>
      </c>
    </row>
    <row r="92">
      <c r="A92" s="7"/>
      <c r="B92" s="28" t="s">
        <v>502</v>
      </c>
      <c r="C92" s="12" t="s">
        <v>99</v>
      </c>
      <c r="D92" s="28" t="s">
        <v>503</v>
      </c>
      <c r="E92" s="13" t="str">
        <f>HYPERLINK("https://youtu.be/ywGmwA9d7tc","channel 4")</f>
        <v>channel 4</v>
      </c>
    </row>
    <row r="93">
      <c r="A93" s="7"/>
      <c r="B93" s="28" t="s">
        <v>504</v>
      </c>
      <c r="C93" s="12" t="s">
        <v>99</v>
      </c>
      <c r="D93" s="28" t="s">
        <v>499</v>
      </c>
      <c r="E93" s="36" t="str">
        <f>HYPERLINK("https://youtu.be/xNhjvCk1qsM?t=875","channel 2")</f>
        <v>channel 2</v>
      </c>
    </row>
    <row r="94">
      <c r="A94" s="7"/>
      <c r="B94" s="28" t="s">
        <v>502</v>
      </c>
      <c r="C94" s="12" t="s">
        <v>46</v>
      </c>
      <c r="D94" s="28" t="s">
        <v>501</v>
      </c>
      <c r="E94" s="13" t="str">
        <f>HYPERLINK("https://youtu.be/ywGmwA9d7tc?t=988","channel 4")</f>
        <v>channel 4</v>
      </c>
    </row>
    <row r="95">
      <c r="A95" s="7"/>
      <c r="B95" s="28" t="s">
        <v>504</v>
      </c>
      <c r="C95" s="46" t="s">
        <v>384</v>
      </c>
      <c r="D95" s="28" t="s">
        <v>503</v>
      </c>
      <c r="E95" s="36" t="str">
        <f>HYPERLINK("https://youtu.be/xNhjvCk1qsM?t=1741","channel 2")</f>
        <v>channel 2</v>
      </c>
    </row>
    <row r="96">
      <c r="A96" s="7"/>
      <c r="B96" s="28" t="s">
        <v>502</v>
      </c>
      <c r="C96" s="12" t="s">
        <v>423</v>
      </c>
      <c r="D96" s="28" t="s">
        <v>499</v>
      </c>
      <c r="E96" s="13" t="str">
        <f>HYPERLINK("https://youtu.be/ywGmwA9d7tc?t=1858","channel 4")</f>
        <v>channel 4</v>
      </c>
    </row>
    <row r="97">
      <c r="A97" s="7"/>
      <c r="B97" s="28" t="s">
        <v>504</v>
      </c>
      <c r="C97" s="12" t="s">
        <v>44</v>
      </c>
      <c r="D97" s="28" t="s">
        <v>501</v>
      </c>
      <c r="E97" s="36" t="str">
        <f>HYPERLINK("https://youtu.be/xNhjvCk1qsM?t=2607","channel 2")</f>
        <v>channel 2</v>
      </c>
    </row>
    <row r="98">
      <c r="A98" s="7"/>
      <c r="B98" s="28" t="s">
        <v>503</v>
      </c>
      <c r="C98" s="12" t="s">
        <v>397</v>
      </c>
      <c r="D98" s="28" t="s">
        <v>499</v>
      </c>
      <c r="E98" s="13" t="str">
        <f>HYPERLINK("https://youtu.be/ywGmwA9d7tc?t=2738","channel 4")</f>
        <v>channel 4</v>
      </c>
    </row>
    <row r="99">
      <c r="A99" s="7"/>
      <c r="B99" s="28" t="s">
        <v>504</v>
      </c>
      <c r="C99" s="12" t="s">
        <v>59</v>
      </c>
      <c r="D99" s="28" t="s">
        <v>502</v>
      </c>
      <c r="E99" s="36" t="str">
        <f>HYPERLINK("https://youtu.be/xNhjvCk1qsM?t=3519","channel 2")</f>
        <v>channel 2</v>
      </c>
    </row>
    <row r="100">
      <c r="A100" s="7"/>
      <c r="B100" s="28" t="s">
        <v>503</v>
      </c>
      <c r="C100" s="12" t="s">
        <v>190</v>
      </c>
      <c r="D100" s="28" t="s">
        <v>501</v>
      </c>
      <c r="E100" s="13" t="str">
        <f>HYPERLINK("https://youtu.be/ywGmwA9d7tc?t=3664","channel 4")</f>
        <v>channel 4</v>
      </c>
    </row>
    <row r="101">
      <c r="A101" s="7"/>
      <c r="B101" s="28" t="s">
        <v>501</v>
      </c>
      <c r="C101" s="12" t="s">
        <v>509</v>
      </c>
      <c r="D101" s="28" t="s">
        <v>499</v>
      </c>
      <c r="E101" s="36" t="str">
        <f>HYPERLINK("https://youtu.be/xNhjvCk1qsM?t=4463","channel 2")</f>
        <v>channel 2</v>
      </c>
    </row>
    <row r="102">
      <c r="A102" s="7"/>
      <c r="B102" s="28" t="s">
        <v>503</v>
      </c>
      <c r="C102" s="12" t="s">
        <v>420</v>
      </c>
      <c r="D102" s="28" t="s">
        <v>502</v>
      </c>
      <c r="E102" s="13" t="str">
        <f>HYPERLINK("https://youtu.be/ywGmwA9d7tc?t=4573","channel 4")</f>
        <v>channel 4</v>
      </c>
    </row>
    <row r="103">
      <c r="A103" s="7"/>
      <c r="B103" s="28" t="s">
        <v>499</v>
      </c>
      <c r="C103" s="12" t="s">
        <v>30</v>
      </c>
      <c r="D103" s="28" t="s">
        <v>504</v>
      </c>
      <c r="E103" s="36" t="str">
        <f>HYPERLINK("https://youtu.be/xNhjvCk1qsM?t=5445","channel 2")</f>
        <v>channel 2</v>
      </c>
    </row>
    <row r="104">
      <c r="A104" s="7"/>
      <c r="B104" s="28" t="s">
        <v>501</v>
      </c>
      <c r="C104" s="12" t="s">
        <v>104</v>
      </c>
      <c r="D104" s="28" t="s">
        <v>502</v>
      </c>
      <c r="E104" s="13" t="str">
        <f>HYPERLINK("https://youtu.be/ywGmwA9d7tc?t=5526","channel 4")</f>
        <v>channel 4</v>
      </c>
    </row>
    <row r="105">
      <c r="A105" s="7"/>
      <c r="B105" s="28" t="s">
        <v>503</v>
      </c>
      <c r="C105" s="12" t="s">
        <v>44</v>
      </c>
      <c r="D105" s="28" t="s">
        <v>504</v>
      </c>
      <c r="E105" s="36" t="str">
        <f>HYPERLINK("https://youtu.be/xNhjvCk1qsM?t=6376","channel 2")</f>
        <v>channel 2</v>
      </c>
    </row>
    <row r="106">
      <c r="A106" s="7"/>
      <c r="B106" s="28" t="s">
        <v>499</v>
      </c>
      <c r="C106" s="12" t="s">
        <v>514</v>
      </c>
      <c r="D106" s="28" t="s">
        <v>502</v>
      </c>
      <c r="E106" s="13" t="str">
        <f>HYPERLINK("https://youtu.be/ywGmwA9d7tc?t=6456","channel 4")</f>
        <v>channel 4</v>
      </c>
    </row>
    <row r="107">
      <c r="A107" s="7"/>
      <c r="B107" s="28" t="s">
        <v>501</v>
      </c>
      <c r="C107" s="12" t="s">
        <v>322</v>
      </c>
      <c r="D107" s="28" t="s">
        <v>504</v>
      </c>
      <c r="E107" s="36" t="str">
        <f>HYPERLINK("https://youtu.be/xNhjvCk1qsM?t=7273","channel 2")</f>
        <v>channel 2</v>
      </c>
    </row>
    <row r="108">
      <c r="A108" s="7"/>
      <c r="B108" s="28" t="s">
        <v>499</v>
      </c>
      <c r="C108" s="12" t="s">
        <v>384</v>
      </c>
      <c r="D108" s="28" t="s">
        <v>503</v>
      </c>
      <c r="E108" s="13" t="str">
        <f>HYPERLINK("https://youtu.be/ywGmwA9d7tc?t=7405","channel 4")</f>
        <v>channel 4</v>
      </c>
    </row>
    <row r="109">
      <c r="A109" s="7"/>
      <c r="B109" s="28" t="s">
        <v>502</v>
      </c>
      <c r="C109" s="12" t="s">
        <v>277</v>
      </c>
      <c r="D109" s="28" t="s">
        <v>504</v>
      </c>
      <c r="E109" s="36" t="str">
        <f>HYPERLINK("https://youtu.be/xNhjvCk1qsM?t=8183","channel 2")</f>
        <v>channel 2</v>
      </c>
    </row>
    <row r="110">
      <c r="A110" s="7"/>
      <c r="B110" s="28" t="s">
        <v>501</v>
      </c>
      <c r="C110" s="12" t="s">
        <v>90</v>
      </c>
      <c r="D110" s="28" t="s">
        <v>503</v>
      </c>
      <c r="E110" s="13" t="str">
        <f>HYPERLINK("https://youtu.be/ywGmwA9d7tc?t=8296","channel 4")</f>
        <v>channel 4</v>
      </c>
    </row>
    <row r="111">
      <c r="A111" s="7"/>
      <c r="B111" s="2" t="s">
        <v>515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45" t="s">
        <v>516</v>
      </c>
      <c r="C113" s="12" t="s">
        <v>30</v>
      </c>
      <c r="D113" s="28" t="s">
        <v>517</v>
      </c>
      <c r="E113" s="36" t="str">
        <f>HYPERLINK("https://youtu.be/s-yJbdwqUTE","channel 2")</f>
        <v>channel 2</v>
      </c>
    </row>
    <row r="114">
      <c r="A114" s="7"/>
      <c r="B114" s="28" t="s">
        <v>518</v>
      </c>
      <c r="C114" s="12" t="s">
        <v>180</v>
      </c>
      <c r="D114" s="28" t="s">
        <v>519</v>
      </c>
      <c r="E114" s="13" t="str">
        <f>HYPERLINK("https://youtu.be/6_fj-k33EcI","channel 4")</f>
        <v>channel 4</v>
      </c>
    </row>
    <row r="115">
      <c r="A115" s="7"/>
      <c r="B115" s="28" t="s">
        <v>520</v>
      </c>
      <c r="C115" s="12" t="s">
        <v>343</v>
      </c>
      <c r="D115" s="28" t="s">
        <v>516</v>
      </c>
      <c r="E115" s="36" t="str">
        <f>HYPERLINK("https://youtu.be/s-yJbdwqUTE?t=929","channel 2")</f>
        <v>channel 2</v>
      </c>
    </row>
    <row r="116">
      <c r="A116" s="7"/>
      <c r="B116" s="28" t="s">
        <v>518</v>
      </c>
      <c r="C116" s="12" t="s">
        <v>521</v>
      </c>
      <c r="D116" s="28" t="s">
        <v>517</v>
      </c>
      <c r="E116" s="13" t="str">
        <f>HYPERLINK("https://youtu.be/6_fj-k33EcI?t=1072","channel 4")</f>
        <v>channel 4</v>
      </c>
    </row>
    <row r="117">
      <c r="A117" s="7"/>
      <c r="B117" s="28" t="s">
        <v>520</v>
      </c>
      <c r="C117" s="12" t="s">
        <v>20</v>
      </c>
      <c r="D117" s="28" t="s">
        <v>519</v>
      </c>
      <c r="E117" s="36" t="str">
        <f>HYPERLINK("https://youtu.be/s-yJbdwqUTE?t=1882","channel 2")</f>
        <v>channel 2</v>
      </c>
    </row>
    <row r="118">
      <c r="A118" s="7"/>
      <c r="B118" s="28" t="s">
        <v>518</v>
      </c>
      <c r="C118" s="12" t="s">
        <v>138</v>
      </c>
      <c r="D118" s="28" t="s">
        <v>516</v>
      </c>
      <c r="E118" s="13" t="str">
        <f>HYPERLINK("https://youtu.be/6_fj-k33EcI?t=1988","channel 4")</f>
        <v>channel 4</v>
      </c>
    </row>
    <row r="119">
      <c r="A119" s="7"/>
      <c r="B119" s="28" t="s">
        <v>520</v>
      </c>
      <c r="C119" s="12" t="s">
        <v>135</v>
      </c>
      <c r="D119" s="28" t="s">
        <v>517</v>
      </c>
      <c r="E119" s="36" t="str">
        <f>HYPERLINK("https://youtu.be/s-yJbdwqUTE?t=2784","channel 2")</f>
        <v>channel 2</v>
      </c>
    </row>
    <row r="120">
      <c r="A120" s="7"/>
      <c r="B120" s="28" t="s">
        <v>519</v>
      </c>
      <c r="C120" s="12" t="s">
        <v>59</v>
      </c>
      <c r="D120" s="28" t="s">
        <v>516</v>
      </c>
      <c r="E120" s="13" t="str">
        <f>HYPERLINK("https://youtu.be/6_fj-k33EcI?t=2901","channel 4")</f>
        <v>channel 4</v>
      </c>
    </row>
    <row r="121">
      <c r="A121" s="7"/>
      <c r="B121" s="28" t="s">
        <v>520</v>
      </c>
      <c r="C121" s="12" t="s">
        <v>77</v>
      </c>
      <c r="D121" s="28" t="s">
        <v>518</v>
      </c>
      <c r="E121" s="36" t="str">
        <f>HYPERLINK("https://youtu.be/s-yJbdwqUTE?t=3670","channel 2")</f>
        <v>channel 2</v>
      </c>
    </row>
    <row r="122">
      <c r="A122" s="7"/>
      <c r="B122" s="28" t="s">
        <v>519</v>
      </c>
      <c r="C122" s="12" t="s">
        <v>93</v>
      </c>
      <c r="D122" s="28" t="s">
        <v>517</v>
      </c>
      <c r="E122" s="13" t="str">
        <f>HYPERLINK("https://youtu.be/6_fj-k33EcI?t=3801","channel 4")</f>
        <v>channel 4</v>
      </c>
    </row>
    <row r="123">
      <c r="A123" s="7"/>
      <c r="B123" s="28" t="s">
        <v>517</v>
      </c>
      <c r="C123" s="12" t="s">
        <v>228</v>
      </c>
      <c r="D123" s="28" t="s">
        <v>516</v>
      </c>
      <c r="E123" s="36" t="str">
        <f>HYPERLINK("https://youtu.be/s-yJbdwqUTE?t=4589","channel 2")</f>
        <v>channel 2</v>
      </c>
    </row>
    <row r="124">
      <c r="A124" s="7"/>
      <c r="B124" s="28" t="s">
        <v>519</v>
      </c>
      <c r="C124" s="12" t="s">
        <v>524</v>
      </c>
      <c r="D124" s="28" t="s">
        <v>518</v>
      </c>
      <c r="E124" s="13" t="str">
        <f>HYPERLINK("https://youtu.be/6_fj-k33EcI?t=4692","channel 4")</f>
        <v>channel 4</v>
      </c>
    </row>
    <row r="125">
      <c r="A125" s="7"/>
      <c r="B125" s="28" t="s">
        <v>516</v>
      </c>
      <c r="C125" s="12" t="s">
        <v>526</v>
      </c>
      <c r="D125" s="28" t="s">
        <v>520</v>
      </c>
      <c r="E125" s="36" t="str">
        <f>HYPERLINK("https://youtu.be/s-yJbdwqUTE?t=5598","channel 2")</f>
        <v>channel 2</v>
      </c>
    </row>
    <row r="126">
      <c r="A126" s="7"/>
      <c r="B126" s="28" t="s">
        <v>517</v>
      </c>
      <c r="C126" s="12" t="s">
        <v>35</v>
      </c>
      <c r="D126" s="28" t="s">
        <v>518</v>
      </c>
      <c r="E126" s="13" t="str">
        <f>HYPERLINK("https://youtu.be/6_fj-k33EcI?t=5740","channel 4")</f>
        <v>channel 4</v>
      </c>
    </row>
    <row r="127">
      <c r="A127" s="7"/>
      <c r="B127" s="28" t="s">
        <v>519</v>
      </c>
      <c r="C127" s="12" t="s">
        <v>59</v>
      </c>
      <c r="D127" s="28" t="s">
        <v>520</v>
      </c>
      <c r="E127" s="36" t="str">
        <f>HYPERLINK("https://youtu.be/s-yJbdwqUTE?t=6649","channel 2")</f>
        <v>channel 2</v>
      </c>
    </row>
    <row r="128">
      <c r="A128" s="7"/>
      <c r="B128" s="28" t="s">
        <v>516</v>
      </c>
      <c r="C128" s="12" t="s">
        <v>319</v>
      </c>
      <c r="D128" s="28" t="s">
        <v>518</v>
      </c>
      <c r="E128" s="13" t="str">
        <f>HYPERLINK("https://youtu.be/6_fj-k33EcI?t=6736","channel 4")</f>
        <v>channel 4</v>
      </c>
    </row>
    <row r="129">
      <c r="A129" s="7"/>
      <c r="B129" s="28" t="s">
        <v>517</v>
      </c>
      <c r="C129" s="12" t="s">
        <v>142</v>
      </c>
      <c r="D129" s="28" t="s">
        <v>520</v>
      </c>
      <c r="E129" s="36" t="str">
        <f>HYPERLINK("https://youtu.be/s-yJbdwqUTE?t=7634","channel 2")</f>
        <v>channel 2</v>
      </c>
    </row>
    <row r="130">
      <c r="A130" s="7"/>
      <c r="B130" s="28" t="s">
        <v>516</v>
      </c>
      <c r="C130" s="12" t="s">
        <v>111</v>
      </c>
      <c r="D130" s="28" t="s">
        <v>519</v>
      </c>
      <c r="E130" s="13" t="str">
        <f>HYPERLINK("https://youtu.be/6_fj-k33EcI?t=7699","channel 4")</f>
        <v>channel 4</v>
      </c>
    </row>
    <row r="131">
      <c r="A131" s="7"/>
      <c r="B131" s="28" t="s">
        <v>518</v>
      </c>
      <c r="C131" s="12" t="s">
        <v>56</v>
      </c>
      <c r="D131" s="28" t="s">
        <v>520</v>
      </c>
      <c r="E131" s="36" t="str">
        <f>HYPERLINK("https://youtu.be/s-yJbdwqUTE?t=8585","channel 2")</f>
        <v>channel 2</v>
      </c>
    </row>
    <row r="132">
      <c r="A132" s="25"/>
      <c r="B132" s="28" t="s">
        <v>517</v>
      </c>
      <c r="C132" s="12" t="s">
        <v>529</v>
      </c>
      <c r="D132" s="28" t="s">
        <v>519</v>
      </c>
      <c r="E132" s="13" t="str">
        <f>HYPERLINK("https://youtu.be/6_fj-k33EcI?t=8690","channel 4")</f>
        <v>channel 4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299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431</v>
      </c>
      <c r="C3" s="12" t="s">
        <v>32</v>
      </c>
      <c r="D3" s="10" t="s">
        <v>432</v>
      </c>
      <c r="E3" s="36" t="str">
        <f>HYPERLINK("https://youtu.be/g6KMUMYRKSM","channel 2")</f>
        <v>channel 2</v>
      </c>
    </row>
    <row r="4">
      <c r="A4" s="7"/>
      <c r="B4" s="10" t="s">
        <v>433</v>
      </c>
      <c r="C4" s="37" t="s">
        <v>74</v>
      </c>
      <c r="D4" s="10" t="s">
        <v>126</v>
      </c>
      <c r="E4" s="13" t="str">
        <f>HYPERLINK("https://youtu.be/GxzAbYd489g","channel 4")</f>
        <v>channel 4</v>
      </c>
    </row>
    <row r="5">
      <c r="A5" s="7"/>
      <c r="B5" s="28" t="s">
        <v>434</v>
      </c>
      <c r="C5" s="12" t="s">
        <v>55</v>
      </c>
      <c r="D5" s="10" t="s">
        <v>431</v>
      </c>
      <c r="E5" s="36" t="str">
        <f>HYPERLINK("https://youtu.be/g6KMUMYRKSM?t=1062","channel 2")</f>
        <v>channel 2</v>
      </c>
    </row>
    <row r="6">
      <c r="A6" s="7"/>
      <c r="B6" s="10" t="s">
        <v>433</v>
      </c>
      <c r="C6" s="12" t="s">
        <v>59</v>
      </c>
      <c r="D6" s="10" t="s">
        <v>432</v>
      </c>
      <c r="E6" s="13" t="str">
        <f>HYPERLINK("https://youtu.be/GxzAbYd489g?t=811","channel 4")</f>
        <v>channel 4</v>
      </c>
    </row>
    <row r="7">
      <c r="A7" s="7"/>
      <c r="B7" s="28" t="s">
        <v>434</v>
      </c>
      <c r="C7" s="12" t="s">
        <v>77</v>
      </c>
      <c r="D7" s="10" t="s">
        <v>126</v>
      </c>
      <c r="E7" s="36" t="str">
        <f>HYPERLINK("https://youtu.be/g6KMUMYRKSM?t=2002","channel 2")</f>
        <v>channel 2</v>
      </c>
    </row>
    <row r="8">
      <c r="A8" s="7"/>
      <c r="B8" s="10" t="s">
        <v>433</v>
      </c>
      <c r="C8" s="12" t="s">
        <v>192</v>
      </c>
      <c r="D8" s="10" t="s">
        <v>431</v>
      </c>
      <c r="E8" s="13" t="str">
        <f>HYPERLINK("https://youtu.be/GxzAbYd489g?t=1713","channel 4")</f>
        <v>channel 4</v>
      </c>
    </row>
    <row r="9">
      <c r="A9" s="7"/>
      <c r="B9" s="28" t="s">
        <v>434</v>
      </c>
      <c r="C9" s="12" t="s">
        <v>383</v>
      </c>
      <c r="D9" s="10" t="s">
        <v>432</v>
      </c>
      <c r="E9" s="36" t="str">
        <f>HYPERLINK("https://youtu.be/g6KMUMYRKSM?t=2939","channel 2")</f>
        <v>channel 2</v>
      </c>
    </row>
    <row r="10">
      <c r="A10" s="7"/>
      <c r="B10" s="10" t="s">
        <v>126</v>
      </c>
      <c r="C10" s="12" t="s">
        <v>436</v>
      </c>
      <c r="D10" s="10" t="s">
        <v>431</v>
      </c>
      <c r="E10" s="13" t="str">
        <f>HYPERLINK("https://youtu.be/GxzAbYd489g?t=2656","channel 4")</f>
        <v>channel 4</v>
      </c>
    </row>
    <row r="11">
      <c r="A11" s="7"/>
      <c r="B11" s="28" t="s">
        <v>434</v>
      </c>
      <c r="C11" s="12" t="s">
        <v>204</v>
      </c>
      <c r="D11" s="10" t="s">
        <v>433</v>
      </c>
      <c r="E11" s="36" t="str">
        <f>HYPERLINK("https://youtu.be/g6KMUMYRKSM?t=3911","channel 2")</f>
        <v>channel 2</v>
      </c>
    </row>
    <row r="12">
      <c r="A12" s="7"/>
      <c r="B12" s="10" t="s">
        <v>126</v>
      </c>
      <c r="C12" s="12" t="s">
        <v>44</v>
      </c>
      <c r="D12" s="10" t="s">
        <v>432</v>
      </c>
      <c r="E12" s="13" t="str">
        <f>HYPERLINK("https://youtu.be/GxzAbYd489g?t=3493","channel 4")</f>
        <v>channel 4</v>
      </c>
    </row>
    <row r="13">
      <c r="A13" s="7"/>
      <c r="B13" s="10" t="s">
        <v>432</v>
      </c>
      <c r="C13" s="12" t="s">
        <v>384</v>
      </c>
      <c r="D13" s="10" t="s">
        <v>431</v>
      </c>
      <c r="E13" s="36" t="str">
        <f>HYPERLINK("https://youtu.be/g6KMUMYRKSM?t=4859","channel 2")</f>
        <v>channel 2</v>
      </c>
    </row>
    <row r="14">
      <c r="A14" s="7"/>
      <c r="B14" s="10" t="s">
        <v>126</v>
      </c>
      <c r="C14" s="38" t="s">
        <v>97</v>
      </c>
      <c r="D14" s="10" t="s">
        <v>433</v>
      </c>
      <c r="E14" s="13" t="str">
        <f>HYPERLINK("https://youtu.be/GxzAbYd489g?t=4344","channel 4")</f>
        <v>channel 4</v>
      </c>
    </row>
    <row r="15">
      <c r="A15" s="7"/>
      <c r="B15" s="10" t="s">
        <v>431</v>
      </c>
      <c r="C15" s="38" t="s">
        <v>444</v>
      </c>
      <c r="D15" s="28" t="s">
        <v>434</v>
      </c>
      <c r="E15" s="36" t="str">
        <f>HYPERLINK("https://youtu.be/g6KMUMYRKSM?t=5764","channel 2")</f>
        <v>channel 2</v>
      </c>
    </row>
    <row r="16">
      <c r="A16" s="7"/>
      <c r="B16" s="10" t="s">
        <v>432</v>
      </c>
      <c r="C16" s="12" t="s">
        <v>145</v>
      </c>
      <c r="D16" s="10" t="s">
        <v>433</v>
      </c>
      <c r="E16" s="13" t="str">
        <f>HYPERLINK("https://youtu.be/GxzAbYd489g?t=5167","channel 4")</f>
        <v>channel 4</v>
      </c>
    </row>
    <row r="17">
      <c r="A17" s="7"/>
      <c r="B17" s="10" t="s">
        <v>126</v>
      </c>
      <c r="C17" s="12" t="s">
        <v>97</v>
      </c>
      <c r="D17" s="28" t="s">
        <v>434</v>
      </c>
      <c r="E17" s="36" t="str">
        <f>HYPERLINK("https://youtu.be/g6KMUMYRKSM?t=6643","channel 2")</f>
        <v>channel 2</v>
      </c>
    </row>
    <row r="18">
      <c r="A18" s="7"/>
      <c r="B18" s="10" t="s">
        <v>431</v>
      </c>
      <c r="C18" s="12" t="s">
        <v>99</v>
      </c>
      <c r="D18" s="10" t="s">
        <v>433</v>
      </c>
      <c r="E18" s="13" t="str">
        <f>HYPERLINK("https://youtu.be/GxzAbYd489g?t=6071","channel 4")</f>
        <v>channel 4</v>
      </c>
    </row>
    <row r="19">
      <c r="A19" s="7"/>
      <c r="B19" s="10" t="s">
        <v>432</v>
      </c>
      <c r="C19" s="12" t="s">
        <v>214</v>
      </c>
      <c r="D19" s="28" t="s">
        <v>434</v>
      </c>
      <c r="E19" s="36" t="str">
        <f>HYPERLINK("https://youtu.be/g6KMUMYRKSM?t=7518","channel 2")</f>
        <v>channel 2</v>
      </c>
    </row>
    <row r="20">
      <c r="A20" s="7"/>
      <c r="B20" s="10" t="s">
        <v>431</v>
      </c>
      <c r="C20" s="12" t="s">
        <v>309</v>
      </c>
      <c r="D20" s="10" t="s">
        <v>126</v>
      </c>
      <c r="E20" s="13" t="str">
        <f>HYPERLINK("https://youtu.be/GxzAbYd489g?t=6964","channel 4")</f>
        <v>channel 4</v>
      </c>
    </row>
    <row r="21">
      <c r="A21" s="7"/>
      <c r="B21" s="10" t="s">
        <v>433</v>
      </c>
      <c r="C21" s="12" t="s">
        <v>74</v>
      </c>
      <c r="D21" s="28" t="s">
        <v>434</v>
      </c>
      <c r="E21" s="36" t="str">
        <f>HYPERLINK("https://youtu.be/g6KMUMYRKSM?t=8363","channel 2")</f>
        <v>channel 2</v>
      </c>
    </row>
    <row r="22">
      <c r="A22" s="7"/>
      <c r="B22" s="10" t="s">
        <v>432</v>
      </c>
      <c r="C22" s="12" t="s">
        <v>318</v>
      </c>
      <c r="D22" s="10" t="s">
        <v>126</v>
      </c>
      <c r="E22" s="13" t="str">
        <f>HYPERLINK("https://youtu.be/GxzAbYd489g?t=7811","channel 4")</f>
        <v>channel 4</v>
      </c>
    </row>
    <row r="23">
      <c r="A23" s="7"/>
      <c r="B23" s="2" t="s">
        <v>329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449</v>
      </c>
      <c r="C25" s="12" t="s">
        <v>99</v>
      </c>
      <c r="D25" s="10" t="s">
        <v>451</v>
      </c>
      <c r="E25" s="36" t="str">
        <f>HYPERLINK("https://youtu.be/yI4DMKEYHQU","channel 2")</f>
        <v>channel 2</v>
      </c>
    </row>
    <row r="26">
      <c r="A26" s="7"/>
      <c r="B26" s="10" t="s">
        <v>286</v>
      </c>
      <c r="C26" s="12" t="s">
        <v>452</v>
      </c>
      <c r="D26" s="10" t="s">
        <v>453</v>
      </c>
      <c r="E26" s="13" t="str">
        <f>HYPERLINK("https://youtu.be/ypGYQuFJykM","channel 4")</f>
        <v>channel 4</v>
      </c>
    </row>
    <row r="27">
      <c r="A27" s="7"/>
      <c r="B27" s="28" t="s">
        <v>456</v>
      </c>
      <c r="C27" s="12" t="s">
        <v>143</v>
      </c>
      <c r="D27" s="10" t="s">
        <v>449</v>
      </c>
      <c r="E27" s="36" t="str">
        <f>HYPERLINK("https://youtu.be/yI4DMKEYHQU?t=941","channel 2")</f>
        <v>channel 2</v>
      </c>
    </row>
    <row r="28">
      <c r="A28" s="7"/>
      <c r="B28" s="10" t="s">
        <v>286</v>
      </c>
      <c r="C28" s="12" t="s">
        <v>216</v>
      </c>
      <c r="D28" s="10" t="s">
        <v>451</v>
      </c>
      <c r="E28" s="13" t="str">
        <f>HYPERLINK("https://youtu.be/ypGYQuFJykM?t=1095","channel 4")</f>
        <v>channel 4</v>
      </c>
    </row>
    <row r="29">
      <c r="A29" s="7"/>
      <c r="B29" s="28" t="s">
        <v>456</v>
      </c>
      <c r="C29" s="12" t="s">
        <v>109</v>
      </c>
      <c r="D29" s="10" t="s">
        <v>453</v>
      </c>
      <c r="E29" s="36" t="str">
        <f>HYPERLINK("https://youtu.be/yI4DMKEYHQU?t=1900","channel 2")</f>
        <v>channel 2</v>
      </c>
    </row>
    <row r="30">
      <c r="A30" s="7"/>
      <c r="B30" s="10" t="s">
        <v>286</v>
      </c>
      <c r="C30" s="12" t="s">
        <v>179</v>
      </c>
      <c r="D30" s="10" t="s">
        <v>449</v>
      </c>
      <c r="E30" s="13" t="str">
        <f>HYPERLINK("https://youtu.be/ypGYQuFJykM?t=2155","channel 4")</f>
        <v>channel 4</v>
      </c>
    </row>
    <row r="31">
      <c r="A31" s="7"/>
      <c r="B31" s="28" t="s">
        <v>456</v>
      </c>
      <c r="C31" s="12" t="s">
        <v>393</v>
      </c>
      <c r="D31" s="10" t="s">
        <v>451</v>
      </c>
      <c r="E31" s="36" t="str">
        <f>HYPERLINK("https://youtu.be/yI4DMKEYHQU?t=2848","channel 2")</f>
        <v>channel 2</v>
      </c>
    </row>
    <row r="32">
      <c r="A32" s="7"/>
      <c r="B32" s="10" t="s">
        <v>453</v>
      </c>
      <c r="C32" s="12" t="s">
        <v>460</v>
      </c>
      <c r="D32" s="10" t="s">
        <v>449</v>
      </c>
      <c r="E32" s="13" t="str">
        <f>HYPERLINK("https://youtu.be/ypGYQuFJykM?t=3085","channel 4")</f>
        <v>channel 4</v>
      </c>
    </row>
    <row r="33">
      <c r="A33" s="7"/>
      <c r="B33" s="28" t="s">
        <v>456</v>
      </c>
      <c r="C33" s="12" t="s">
        <v>135</v>
      </c>
      <c r="D33" s="10" t="s">
        <v>286</v>
      </c>
      <c r="E33" s="36" t="str">
        <f>HYPERLINK("https://youtu.be/yI4DMKEYHQU?t=3729","channel 2")</f>
        <v>channel 2</v>
      </c>
    </row>
    <row r="34">
      <c r="A34" s="7"/>
      <c r="B34" s="10" t="s">
        <v>453</v>
      </c>
      <c r="C34" s="12" t="s">
        <v>59</v>
      </c>
      <c r="D34" s="10" t="s">
        <v>451</v>
      </c>
      <c r="E34" s="13" t="str">
        <f>HYPERLINK("https://youtu.be/ypGYQuFJykM?t=4021","channel 4")</f>
        <v>channel 4</v>
      </c>
    </row>
    <row r="35">
      <c r="A35" s="7"/>
      <c r="B35" s="10" t="s">
        <v>451</v>
      </c>
      <c r="C35" s="12" t="s">
        <v>328</v>
      </c>
      <c r="D35" s="10" t="s">
        <v>449</v>
      </c>
      <c r="E35" s="36" t="str">
        <f>HYPERLINK("https://youtu.be/yI4DMKEYHQU?t=4857","channel 2")</f>
        <v>channel 2</v>
      </c>
    </row>
    <row r="36">
      <c r="A36" s="7"/>
      <c r="B36" s="10" t="s">
        <v>453</v>
      </c>
      <c r="C36" s="12" t="s">
        <v>384</v>
      </c>
      <c r="D36" s="10" t="s">
        <v>286</v>
      </c>
      <c r="E36" s="13" t="str">
        <f>HYPERLINK("https://youtu.be/ypGYQuFJykM?t=4980","channel 4")</f>
        <v>channel 4</v>
      </c>
    </row>
    <row r="37">
      <c r="A37" s="7"/>
      <c r="B37" s="10" t="s">
        <v>449</v>
      </c>
      <c r="C37" s="12" t="s">
        <v>180</v>
      </c>
      <c r="D37" s="28" t="s">
        <v>456</v>
      </c>
      <c r="E37" s="36" t="str">
        <f>HYPERLINK("https://youtu.be/yI4DMKEYHQU?t=5981","channel 2")</f>
        <v>channel 2</v>
      </c>
    </row>
    <row r="38">
      <c r="A38" s="7"/>
      <c r="B38" s="10" t="s">
        <v>451</v>
      </c>
      <c r="C38" s="12" t="s">
        <v>435</v>
      </c>
      <c r="D38" s="10" t="s">
        <v>286</v>
      </c>
      <c r="E38" s="13" t="str">
        <f>HYPERLINK("https://youtu.be/ypGYQuFJykM?t=5970","channel 4")</f>
        <v>channel 4</v>
      </c>
    </row>
    <row r="39">
      <c r="A39" s="7"/>
      <c r="B39" s="10" t="s">
        <v>453</v>
      </c>
      <c r="C39" s="39" t="s">
        <v>38</v>
      </c>
      <c r="D39" s="28" t="s">
        <v>456</v>
      </c>
      <c r="E39" s="36" t="str">
        <f>HYPERLINK("https://youtu.be/yI4DMKEYHQU?t=6933","channel 2")</f>
        <v>channel 2</v>
      </c>
    </row>
    <row r="40">
      <c r="A40" s="7"/>
      <c r="B40" s="10" t="s">
        <v>449</v>
      </c>
      <c r="C40" s="12" t="s">
        <v>103</v>
      </c>
      <c r="D40" s="10" t="s">
        <v>286</v>
      </c>
      <c r="E40" s="13" t="str">
        <f>HYPERLINK("https://youtu.be/ypGYQuFJykM?t=7020","channel 4")</f>
        <v>channel 4</v>
      </c>
    </row>
    <row r="41">
      <c r="A41" s="7"/>
      <c r="B41" s="10" t="s">
        <v>451</v>
      </c>
      <c r="C41" s="12" t="s">
        <v>124</v>
      </c>
      <c r="D41" s="28" t="s">
        <v>456</v>
      </c>
      <c r="E41" s="36" t="str">
        <f>HYPERLINK("https://youtu.be/yI4DMKEYHQU?t=7913","channel 2")</f>
        <v>channel 2</v>
      </c>
    </row>
    <row r="42">
      <c r="A42" s="7"/>
      <c r="B42" s="10" t="s">
        <v>449</v>
      </c>
      <c r="C42" s="12" t="s">
        <v>47</v>
      </c>
      <c r="D42" s="10" t="s">
        <v>453</v>
      </c>
      <c r="E42" s="13" t="str">
        <f>HYPERLINK("https://youtu.be/ypGYQuFJykM?t=7995","channel 4")</f>
        <v>channel 4</v>
      </c>
    </row>
    <row r="43">
      <c r="A43" s="7"/>
      <c r="B43" s="10" t="s">
        <v>286</v>
      </c>
      <c r="C43" s="12" t="s">
        <v>35</v>
      </c>
      <c r="D43" s="28" t="s">
        <v>456</v>
      </c>
      <c r="E43" s="36" t="str">
        <f>HYPERLINK("https://youtu.be/yI4DMKEYHQU?t=8919","channel 2")</f>
        <v>channel 2</v>
      </c>
    </row>
    <row r="44">
      <c r="A44" s="7"/>
      <c r="B44" s="10" t="s">
        <v>451</v>
      </c>
      <c r="C44" s="12" t="s">
        <v>32</v>
      </c>
      <c r="D44" s="10" t="s">
        <v>453</v>
      </c>
      <c r="E44" s="13" t="str">
        <f>HYPERLINK("https://youtu.be/ypGYQuFJykM?t=9015","channel 4")</f>
        <v>channel 4</v>
      </c>
    </row>
    <row r="45">
      <c r="A45" s="7"/>
      <c r="B45" s="2" t="s">
        <v>377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235</v>
      </c>
      <c r="C47" s="12" t="s">
        <v>241</v>
      </c>
      <c r="D47" s="10" t="s">
        <v>473</v>
      </c>
      <c r="E47" s="36" t="str">
        <f>HYPERLINK("https://youtu.be/GgeK-zJaZy8?t=2664","channel 2")</f>
        <v>channel 2</v>
      </c>
    </row>
    <row r="48">
      <c r="A48" s="7"/>
      <c r="B48" s="10" t="s">
        <v>474</v>
      </c>
      <c r="C48" s="12" t="s">
        <v>241</v>
      </c>
      <c r="D48" s="10" t="s">
        <v>475</v>
      </c>
      <c r="E48" s="13" t="str">
        <f>HYPERLINK("https://youtu.be/bsg9jBKsv4w?t=2842","channel 4")</f>
        <v>channel 4</v>
      </c>
    </row>
    <row r="49">
      <c r="A49" s="7"/>
      <c r="B49" s="40" t="s">
        <v>476</v>
      </c>
      <c r="C49" s="34" t="s">
        <v>212</v>
      </c>
      <c r="D49" s="41" t="s">
        <v>235</v>
      </c>
      <c r="E49" s="36" t="str">
        <f>HYPERLINK("https://youtu.be/GgeK-zJaZy8?t=910","channel 2")</f>
        <v>channel 2</v>
      </c>
    </row>
    <row r="50">
      <c r="A50" s="7"/>
      <c r="B50" s="41" t="s">
        <v>474</v>
      </c>
      <c r="C50" s="34" t="s">
        <v>141</v>
      </c>
      <c r="D50" s="41" t="s">
        <v>473</v>
      </c>
      <c r="E50" s="13" t="str">
        <f>HYPERLINK("https://youtu.be/bsg9jBKsv4w?t=967","channel 4")</f>
        <v>channel 4</v>
      </c>
    </row>
    <row r="51">
      <c r="A51" s="7"/>
      <c r="B51" s="28" t="s">
        <v>476</v>
      </c>
      <c r="C51" s="12" t="s">
        <v>141</v>
      </c>
      <c r="D51" s="10" t="s">
        <v>475</v>
      </c>
      <c r="E51" s="36" t="str">
        <f>HYPERLINK("https://youtu.be/GgeK-zJaZy8?t=3599","channel 2")</f>
        <v>channel 2</v>
      </c>
    </row>
    <row r="52">
      <c r="A52" s="7"/>
      <c r="B52" s="10" t="s">
        <v>474</v>
      </c>
      <c r="C52" s="12" t="s">
        <v>478</v>
      </c>
      <c r="D52" s="10" t="s">
        <v>235</v>
      </c>
      <c r="E52" s="13" t="str">
        <f>HYPERLINK("https://youtu.be/bsg9jBKsv4w?t=3842","channel 4")</f>
        <v>channel 4</v>
      </c>
    </row>
    <row r="53">
      <c r="A53" s="7"/>
      <c r="B53" s="28" t="s">
        <v>476</v>
      </c>
      <c r="C53" s="12" t="s">
        <v>160</v>
      </c>
      <c r="D53" s="10" t="s">
        <v>473</v>
      </c>
      <c r="E53" s="36" t="str">
        <f>HYPERLINK("https://youtu.be/GgeK-zJaZy8?t=4629","channel 2")</f>
        <v>channel 2</v>
      </c>
    </row>
    <row r="54">
      <c r="A54" s="7"/>
      <c r="B54" s="10" t="s">
        <v>475</v>
      </c>
      <c r="C54" s="12" t="s">
        <v>436</v>
      </c>
      <c r="D54" s="10" t="s">
        <v>235</v>
      </c>
      <c r="E54" s="13" t="str">
        <f>HYPERLINK("https://youtu.be/bsg9jBKsv4w?t=4853","channel 4")</f>
        <v>channel 4</v>
      </c>
    </row>
    <row r="55">
      <c r="A55" s="7"/>
      <c r="B55" s="28" t="s">
        <v>476</v>
      </c>
      <c r="C55" s="12" t="s">
        <v>277</v>
      </c>
      <c r="D55" s="10" t="s">
        <v>474</v>
      </c>
      <c r="E55" s="36" t="str">
        <f>HYPERLINK("https://youtu.be/GgeK-zJaZy8?t=5549","channel 2")</f>
        <v>channel 2</v>
      </c>
    </row>
    <row r="56">
      <c r="A56" s="7"/>
      <c r="B56" s="10" t="s">
        <v>475</v>
      </c>
      <c r="C56" s="12" t="s">
        <v>148</v>
      </c>
      <c r="D56" s="10" t="s">
        <v>473</v>
      </c>
      <c r="E56" s="13" t="str">
        <f>HYPERLINK("https://youtu.be/bsg9jBKsv4w?t=5742","channel 4")</f>
        <v>channel 4</v>
      </c>
    </row>
    <row r="57">
      <c r="A57" s="7"/>
      <c r="B57" s="10" t="s">
        <v>473</v>
      </c>
      <c r="C57" s="12" t="s">
        <v>322</v>
      </c>
      <c r="D57" s="10" t="s">
        <v>235</v>
      </c>
      <c r="E57" s="36" t="str">
        <f>HYPERLINK("https://youtu.be/GgeK-zJaZy8?t=6443","channel 2")</f>
        <v>channel 2</v>
      </c>
    </row>
    <row r="58">
      <c r="A58" s="7"/>
      <c r="B58" s="10" t="s">
        <v>475</v>
      </c>
      <c r="C58" s="12" t="s">
        <v>30</v>
      </c>
      <c r="D58" s="10" t="s">
        <v>474</v>
      </c>
      <c r="E58" s="13" t="str">
        <f>HYPERLINK("https://youtu.be/bsg9jBKsv4w?t=6631","channel 4")</f>
        <v>channel 4</v>
      </c>
    </row>
    <row r="59">
      <c r="A59" s="7"/>
      <c r="B59" s="41" t="s">
        <v>235</v>
      </c>
      <c r="C59" s="34" t="s">
        <v>37</v>
      </c>
      <c r="D59" s="40" t="s">
        <v>476</v>
      </c>
      <c r="E59" s="36" t="str">
        <f>HYPERLINK("https://youtu.be/GgeK-zJaZy8?t=1706","channel 2")</f>
        <v>channel 2</v>
      </c>
    </row>
    <row r="60">
      <c r="A60" s="7"/>
      <c r="B60" s="41" t="s">
        <v>473</v>
      </c>
      <c r="C60" s="34" t="s">
        <v>193</v>
      </c>
      <c r="D60" s="41" t="s">
        <v>474</v>
      </c>
      <c r="E60" s="13" t="str">
        <f>HYPERLINK("https://youtu.be/bsg9jBKsv4w?t=1877","channel 4")</f>
        <v>channel 4</v>
      </c>
    </row>
    <row r="61">
      <c r="A61" s="7"/>
      <c r="B61" s="10" t="s">
        <v>475</v>
      </c>
      <c r="C61" s="12" t="s">
        <v>47</v>
      </c>
      <c r="D61" s="28" t="s">
        <v>476</v>
      </c>
      <c r="E61" s="36" t="str">
        <f>HYPERLINK("https://youtu.be/GgeK-zJaZy8?t=7401","channel 2")</f>
        <v>channel 2</v>
      </c>
    </row>
    <row r="62">
      <c r="A62" s="7"/>
      <c r="B62" s="10" t="s">
        <v>235</v>
      </c>
      <c r="C62" s="18" t="s">
        <v>31</v>
      </c>
      <c r="D62" s="10" t="s">
        <v>474</v>
      </c>
      <c r="E62" s="13" t="str">
        <f>HYPERLINK("https://youtu.be/bsg9jBKsv4w?t=7498","channel 4")</f>
        <v>channel 4</v>
      </c>
      <c r="G62" s="44"/>
    </row>
    <row r="63">
      <c r="A63" s="7"/>
      <c r="B63" s="10" t="s">
        <v>473</v>
      </c>
      <c r="C63" s="12" t="s">
        <v>338</v>
      </c>
      <c r="D63" s="28" t="s">
        <v>476</v>
      </c>
      <c r="E63" s="36" t="str">
        <f>HYPERLINK("https://youtu.be/GgeK-zJaZy8?t=8318","channel 2")</f>
        <v>channel 2</v>
      </c>
    </row>
    <row r="64">
      <c r="A64" s="7"/>
      <c r="B64" s="10" t="s">
        <v>235</v>
      </c>
      <c r="C64" s="12" t="s">
        <v>308</v>
      </c>
      <c r="D64" s="10" t="s">
        <v>475</v>
      </c>
      <c r="E64" s="13" t="str">
        <f>HYPERLINK("https://youtu.be/bsg9jBKsv4w?t=8459","channel 4")</f>
        <v>channel 4</v>
      </c>
    </row>
    <row r="65">
      <c r="A65" s="7"/>
      <c r="B65" s="10" t="s">
        <v>474</v>
      </c>
      <c r="C65" s="12" t="s">
        <v>486</v>
      </c>
      <c r="D65" s="28" t="s">
        <v>476</v>
      </c>
      <c r="E65" s="36" t="str">
        <f>HYPERLINK("https://youtu.be/GgeK-zJaZy8?t=9276","channel 2")</f>
        <v>channel 2</v>
      </c>
    </row>
    <row r="66">
      <c r="A66" s="7"/>
      <c r="B66" s="10" t="s">
        <v>473</v>
      </c>
      <c r="C66" s="12" t="s">
        <v>38</v>
      </c>
      <c r="D66" s="10" t="s">
        <v>475</v>
      </c>
      <c r="E66" s="13" t="str">
        <f>HYPERLINK("https://youtu.be/bsg9jBKsv4w?t=9364","channel 4")</f>
        <v>channel 4</v>
      </c>
    </row>
    <row r="67">
      <c r="A67" s="7"/>
      <c r="B67" s="4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487</v>
      </c>
      <c r="C69" s="12" t="s">
        <v>223</v>
      </c>
      <c r="D69" s="10" t="s">
        <v>488</v>
      </c>
      <c r="E69" s="36" t="str">
        <f>HYPERLINK("https://youtu.be/xCPf9WHqaFM","channel 2")</f>
        <v>channel 2</v>
      </c>
    </row>
    <row r="70">
      <c r="A70" s="7"/>
      <c r="B70" s="10" t="s">
        <v>489</v>
      </c>
      <c r="C70" s="12" t="s">
        <v>285</v>
      </c>
      <c r="D70" s="10" t="s">
        <v>490</v>
      </c>
      <c r="E70" s="13" t="str">
        <f>HYPERLINK("https://youtu.be/Ii7SBT9Lq6c","channel 4")</f>
        <v>channel 4</v>
      </c>
    </row>
    <row r="71">
      <c r="A71" s="7"/>
      <c r="B71" s="28" t="s">
        <v>492</v>
      </c>
      <c r="C71" s="12" t="s">
        <v>493</v>
      </c>
      <c r="D71" s="10" t="s">
        <v>487</v>
      </c>
      <c r="E71" s="36" t="str">
        <f>HYPERLINK("https://youtu.be/xCPf9WHqaFM?t=1088","channel 2")</f>
        <v>channel 2</v>
      </c>
    </row>
    <row r="72">
      <c r="A72" s="7"/>
      <c r="B72" s="10" t="s">
        <v>489</v>
      </c>
      <c r="C72" s="12" t="s">
        <v>494</v>
      </c>
      <c r="D72" s="10" t="s">
        <v>488</v>
      </c>
      <c r="E72" s="13" t="str">
        <f>HYPERLINK("https://youtu.be/Ii7SBT9Lq6c?t=1172","channel 4")</f>
        <v>channel 4</v>
      </c>
    </row>
    <row r="73">
      <c r="A73" s="7"/>
      <c r="B73" s="28" t="s">
        <v>492</v>
      </c>
      <c r="C73" s="12" t="s">
        <v>340</v>
      </c>
      <c r="D73" s="10" t="s">
        <v>490</v>
      </c>
      <c r="E73" s="36" t="str">
        <f>HYPERLINK("https://youtu.be/xCPf9WHqaFM?t=2020","channel 2")</f>
        <v>channel 2</v>
      </c>
    </row>
    <row r="74">
      <c r="A74" s="7"/>
      <c r="B74" s="10" t="s">
        <v>489</v>
      </c>
      <c r="C74" s="12" t="s">
        <v>496</v>
      </c>
      <c r="D74" s="10" t="s">
        <v>487</v>
      </c>
      <c r="E74" s="13" t="str">
        <f>HYPERLINK("https://youtu.be/Ii7SBT9Lq6c?t=2158","channel 4")</f>
        <v>channel 4</v>
      </c>
      <c r="G74" s="44"/>
    </row>
    <row r="75">
      <c r="A75" s="7"/>
      <c r="B75" s="28" t="s">
        <v>492</v>
      </c>
      <c r="C75" s="12" t="s">
        <v>498</v>
      </c>
      <c r="D75" s="10" t="s">
        <v>488</v>
      </c>
      <c r="E75" s="36" t="str">
        <f>HYPERLINK("https://youtu.be/xCPf9WHqaFM?t=3017","channel 2")</f>
        <v>channel 2</v>
      </c>
    </row>
    <row r="76">
      <c r="A76" s="7"/>
      <c r="B76" s="10" t="s">
        <v>490</v>
      </c>
      <c r="C76" s="12" t="s">
        <v>436</v>
      </c>
      <c r="D76" s="10" t="s">
        <v>487</v>
      </c>
      <c r="E76" s="13" t="str">
        <f>HYPERLINK("https://youtu.be/Ii7SBT9Lq6c?t=3177","channel 4")</f>
        <v>channel 4</v>
      </c>
    </row>
    <row r="77">
      <c r="A77" s="7"/>
      <c r="B77" s="28" t="s">
        <v>492</v>
      </c>
      <c r="C77" s="12" t="s">
        <v>500</v>
      </c>
      <c r="D77" s="10" t="s">
        <v>489</v>
      </c>
      <c r="E77" s="36" t="str">
        <f>HYPERLINK("https://youtu.be/xCPf9WHqaFM?t=3987","channel 2")</f>
        <v>channel 2</v>
      </c>
    </row>
    <row r="78">
      <c r="A78" s="7"/>
      <c r="B78" s="10" t="s">
        <v>490</v>
      </c>
      <c r="C78" s="34" t="s">
        <v>34</v>
      </c>
      <c r="D78" s="10" t="s">
        <v>488</v>
      </c>
      <c r="E78" s="13" t="str">
        <f>HYPERLINK("https://youtu.be/Ii7SBT9Lq6c?t=4082","channel 4")</f>
        <v>channel 4</v>
      </c>
    </row>
    <row r="79">
      <c r="A79" s="7"/>
      <c r="B79" s="10" t="s">
        <v>488</v>
      </c>
      <c r="C79" s="12" t="s">
        <v>104</v>
      </c>
      <c r="D79" s="10" t="s">
        <v>487</v>
      </c>
      <c r="E79" s="36" t="str">
        <f>HYPERLINK("https://youtu.be/xCPf9WHqaFM?t=4984","channel 2")</f>
        <v>channel 2</v>
      </c>
    </row>
    <row r="80">
      <c r="A80" s="7"/>
      <c r="B80" s="10" t="s">
        <v>490</v>
      </c>
      <c r="C80" s="12" t="s">
        <v>505</v>
      </c>
      <c r="D80" s="10" t="s">
        <v>489</v>
      </c>
      <c r="E80" s="13" t="str">
        <f>HYPERLINK("https://youtu.be/Ii7SBT9Lq6c?t=5132","channel 4")</f>
        <v>channel 4</v>
      </c>
    </row>
    <row r="81">
      <c r="A81" s="7"/>
      <c r="B81" s="10" t="s">
        <v>487</v>
      </c>
      <c r="C81" s="12" t="s">
        <v>132</v>
      </c>
      <c r="D81" s="28" t="s">
        <v>492</v>
      </c>
      <c r="E81" s="36" t="str">
        <f>HYPERLINK("https://youtu.be/xCPf9WHqaFM?t=6009","channel 2")</f>
        <v>channel 2</v>
      </c>
    </row>
    <row r="82">
      <c r="A82" s="7"/>
      <c r="B82" s="10" t="s">
        <v>488</v>
      </c>
      <c r="C82" s="12" t="s">
        <v>141</v>
      </c>
      <c r="D82" s="10" t="s">
        <v>489</v>
      </c>
      <c r="E82" s="13" t="str">
        <f>HYPERLINK("https://youtu.be/Ii7SBT9Lq6c?t=6132","channel 4")</f>
        <v>channel 4</v>
      </c>
    </row>
    <row r="83">
      <c r="A83" s="7"/>
      <c r="B83" s="10" t="s">
        <v>490</v>
      </c>
      <c r="C83" s="12" t="s">
        <v>213</v>
      </c>
      <c r="D83" s="28" t="s">
        <v>492</v>
      </c>
      <c r="E83" s="36" t="str">
        <f>HYPERLINK("https://youtu.be/xCPf9WHqaFM?t=6982","channel 2")</f>
        <v>channel 2</v>
      </c>
    </row>
    <row r="84">
      <c r="A84" s="7"/>
      <c r="B84" s="10" t="s">
        <v>487</v>
      </c>
      <c r="C84" s="12" t="s">
        <v>506</v>
      </c>
      <c r="D84" s="10" t="s">
        <v>489</v>
      </c>
      <c r="E84" s="13" t="str">
        <f>HYPERLINK("https://youtu.be/Ii7SBT9Lq6c?t=7180","channel 4")</f>
        <v>channel 4</v>
      </c>
    </row>
    <row r="85">
      <c r="A85" s="7"/>
      <c r="B85" s="10" t="s">
        <v>488</v>
      </c>
      <c r="C85" s="12" t="s">
        <v>507</v>
      </c>
      <c r="D85" s="28" t="s">
        <v>492</v>
      </c>
      <c r="E85" s="36" t="str">
        <f>HYPERLINK("https://youtu.be/xCPf9WHqaFM?t=7901","channel 2")</f>
        <v>channel 2</v>
      </c>
    </row>
    <row r="86">
      <c r="A86" s="7"/>
      <c r="B86" s="10" t="s">
        <v>487</v>
      </c>
      <c r="C86" s="12" t="s">
        <v>508</v>
      </c>
      <c r="D86" s="10" t="s">
        <v>490</v>
      </c>
      <c r="E86" s="13" t="str">
        <f>HYPERLINK("https://youtu.be/Ii7SBT9Lq6c?t=8072","channel 4")</f>
        <v>channel 4</v>
      </c>
    </row>
    <row r="87">
      <c r="A87" s="7"/>
      <c r="B87" s="10" t="s">
        <v>489</v>
      </c>
      <c r="C87" s="12" t="s">
        <v>135</v>
      </c>
      <c r="D87" s="28" t="s">
        <v>492</v>
      </c>
      <c r="E87" s="36" t="str">
        <f>HYPERLINK("https://youtu.be/xCPf9WHqaFM?t=8843","channel 2")</f>
        <v>channel 2</v>
      </c>
    </row>
    <row r="88">
      <c r="A88" s="7"/>
      <c r="B88" s="10" t="s">
        <v>488</v>
      </c>
      <c r="C88" s="12" t="s">
        <v>10</v>
      </c>
      <c r="D88" s="10" t="s">
        <v>490</v>
      </c>
      <c r="E88" s="13" t="str">
        <f>HYPERLINK("https://youtu.be/Ii7SBT9Lq6c?t=8974","channel 4")</f>
        <v>channel 4</v>
      </c>
    </row>
    <row r="89">
      <c r="A89" s="7"/>
      <c r="B89" s="2" t="s">
        <v>510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315</v>
      </c>
      <c r="C91" s="12" t="s">
        <v>138</v>
      </c>
      <c r="D91" s="10" t="s">
        <v>511</v>
      </c>
      <c r="E91" s="36" t="str">
        <f>HYPERLINK("https://youtu.be/YR51g0pEjx8","channel 2")</f>
        <v>channel 2</v>
      </c>
    </row>
    <row r="92">
      <c r="A92" s="7"/>
      <c r="B92" s="10" t="s">
        <v>512</v>
      </c>
      <c r="C92" s="12" t="s">
        <v>193</v>
      </c>
      <c r="D92" s="10" t="s">
        <v>267</v>
      </c>
      <c r="E92" s="13" t="str">
        <f>HYPERLINK("https://youtu.be/2e2W9ppWmZU","channel 4")</f>
        <v>channel 4</v>
      </c>
    </row>
    <row r="93">
      <c r="A93" s="7"/>
      <c r="B93" s="10" t="s">
        <v>513</v>
      </c>
      <c r="C93" s="12" t="s">
        <v>157</v>
      </c>
      <c r="D93" s="10" t="s">
        <v>315</v>
      </c>
      <c r="E93" s="36" t="str">
        <f>HYPERLINK("https://youtu.be/YR51g0pEjx8?t=937","channel 2")</f>
        <v>channel 2</v>
      </c>
    </row>
    <row r="94">
      <c r="A94" s="7"/>
      <c r="B94" s="10" t="s">
        <v>512</v>
      </c>
      <c r="C94" s="12" t="s">
        <v>405</v>
      </c>
      <c r="D94" s="10" t="s">
        <v>511</v>
      </c>
      <c r="E94" s="13" t="str">
        <f>HYPERLINK("https://youtu.be/2e2W9ppWmZU?t=1159","channel 4")</f>
        <v>channel 4</v>
      </c>
    </row>
    <row r="95">
      <c r="A95" s="7"/>
      <c r="B95" s="10" t="s">
        <v>513</v>
      </c>
      <c r="C95" s="46" t="s">
        <v>97</v>
      </c>
      <c r="D95" s="10" t="s">
        <v>267</v>
      </c>
      <c r="E95" s="36" t="str">
        <f>HYPERLINK("https://youtu.be/YR51g0pEjx8?t=1823","channel 2")</f>
        <v>channel 2</v>
      </c>
    </row>
    <row r="96">
      <c r="A96" s="7"/>
      <c r="B96" s="10" t="s">
        <v>512</v>
      </c>
      <c r="C96" s="12" t="s">
        <v>179</v>
      </c>
      <c r="D96" s="10" t="s">
        <v>315</v>
      </c>
      <c r="E96" s="13" t="str">
        <f>HYPERLINK("https://youtu.be/2e2W9ppWmZU?t=2034","channel 4")</f>
        <v>channel 4</v>
      </c>
    </row>
    <row r="97">
      <c r="A97" s="7"/>
      <c r="B97" s="10" t="s">
        <v>513</v>
      </c>
      <c r="C97" s="12" t="s">
        <v>108</v>
      </c>
      <c r="D97" s="10" t="s">
        <v>511</v>
      </c>
      <c r="E97" s="36" t="str">
        <f>HYPERLINK("https://youtu.be/YR51g0pEjx8?t=2745","channel 2")</f>
        <v>channel 2</v>
      </c>
    </row>
    <row r="98">
      <c r="A98" s="7"/>
      <c r="B98" s="10" t="s">
        <v>267</v>
      </c>
      <c r="C98" s="12" t="s">
        <v>108</v>
      </c>
      <c r="D98" s="10" t="s">
        <v>315</v>
      </c>
      <c r="E98" s="13" t="str">
        <f>HYPERLINK("https://youtu.be/2e2W9ppWmZU?t=2936","channel 4")</f>
        <v>channel 4</v>
      </c>
    </row>
    <row r="99">
      <c r="A99" s="7"/>
      <c r="B99" s="10" t="s">
        <v>513</v>
      </c>
      <c r="C99" s="12" t="s">
        <v>74</v>
      </c>
      <c r="D99" s="10" t="s">
        <v>512</v>
      </c>
      <c r="E99" s="36" t="str">
        <f>HYPERLINK("https://youtu.be/YR51g0pEjx8?t=3655","channel 2")</f>
        <v>channel 2</v>
      </c>
    </row>
    <row r="100">
      <c r="A100" s="7"/>
      <c r="B100" s="10" t="s">
        <v>267</v>
      </c>
      <c r="C100" s="12" t="s">
        <v>180</v>
      </c>
      <c r="D100" s="10" t="s">
        <v>511</v>
      </c>
      <c r="E100" s="13" t="str">
        <f>HYPERLINK("https://youtu.be/2e2W9ppWmZU?t=3842","channel 4")</f>
        <v>channel 4</v>
      </c>
    </row>
    <row r="101">
      <c r="A101" s="7"/>
      <c r="B101" s="10" t="s">
        <v>511</v>
      </c>
      <c r="C101" s="12" t="s">
        <v>47</v>
      </c>
      <c r="D101" s="10" t="s">
        <v>315</v>
      </c>
      <c r="E101" s="36" t="str">
        <f>HYPERLINK("https://youtu.be/YR51g0pEjx8?t=4619","channel 2")</f>
        <v>channel 2</v>
      </c>
    </row>
    <row r="102">
      <c r="A102" s="7"/>
      <c r="B102" s="10" t="s">
        <v>267</v>
      </c>
      <c r="C102" s="12" t="s">
        <v>56</v>
      </c>
      <c r="D102" s="10" t="s">
        <v>512</v>
      </c>
      <c r="E102" s="13" t="str">
        <f>HYPERLINK("https://youtu.be/2e2W9ppWmZU?t=4821","channel 4")</f>
        <v>channel 4</v>
      </c>
    </row>
    <row r="103">
      <c r="A103" s="7"/>
      <c r="B103" s="10" t="s">
        <v>315</v>
      </c>
      <c r="C103" s="12" t="s">
        <v>124</v>
      </c>
      <c r="D103" s="10" t="s">
        <v>513</v>
      </c>
      <c r="E103" s="36" t="str">
        <f>HYPERLINK("https://youtu.be/YR51g0pEjx8?t=5559","channel 2")</f>
        <v>channel 2</v>
      </c>
    </row>
    <row r="104">
      <c r="A104" s="7"/>
      <c r="B104" s="10" t="s">
        <v>511</v>
      </c>
      <c r="C104" s="12" t="s">
        <v>261</v>
      </c>
      <c r="D104" s="10" t="s">
        <v>512</v>
      </c>
      <c r="E104" s="13" t="str">
        <f>HYPERLINK("https://youtu.be/2e2W9ppWmZU?t=5729","channel 4")</f>
        <v>channel 4</v>
      </c>
    </row>
    <row r="105">
      <c r="A105" s="7"/>
      <c r="B105" s="10" t="s">
        <v>267</v>
      </c>
      <c r="C105" s="12" t="s">
        <v>85</v>
      </c>
      <c r="D105" s="10" t="s">
        <v>513</v>
      </c>
      <c r="E105" s="36" t="str">
        <f>HYPERLINK("https://youtu.be/YR51g0pEjx8?t=6644","channel 2")</f>
        <v>channel 2</v>
      </c>
    </row>
    <row r="106">
      <c r="A106" s="7"/>
      <c r="B106" s="10" t="s">
        <v>315</v>
      </c>
      <c r="C106" s="12" t="s">
        <v>85</v>
      </c>
      <c r="D106" s="10" t="s">
        <v>512</v>
      </c>
      <c r="E106" s="13" t="str">
        <f>HYPERLINK("https://youtu.be/2e2W9ppWmZU?t=6818","channel 4")</f>
        <v>channel 4</v>
      </c>
    </row>
    <row r="107">
      <c r="A107" s="7"/>
      <c r="B107" s="10" t="s">
        <v>511</v>
      </c>
      <c r="C107" s="12" t="s">
        <v>156</v>
      </c>
      <c r="D107" s="10" t="s">
        <v>513</v>
      </c>
      <c r="E107" s="36" t="str">
        <f>HYPERLINK("https://youtu.be/YR51g0pEjx8?t=7558","channel 2")</f>
        <v>channel 2</v>
      </c>
    </row>
    <row r="108">
      <c r="A108" s="7"/>
      <c r="B108" s="10" t="s">
        <v>315</v>
      </c>
      <c r="C108" s="12" t="s">
        <v>145</v>
      </c>
      <c r="D108" s="10" t="s">
        <v>267</v>
      </c>
      <c r="E108" s="13" t="str">
        <f>HYPERLINK("https://youtu.be/2e2W9ppWmZU?t=7717","channel 4")</f>
        <v>channel 4</v>
      </c>
    </row>
    <row r="109">
      <c r="A109" s="7"/>
      <c r="B109" s="10" t="s">
        <v>512</v>
      </c>
      <c r="C109" s="12" t="s">
        <v>522</v>
      </c>
      <c r="D109" s="10" t="s">
        <v>513</v>
      </c>
      <c r="E109" s="36" t="str">
        <f>HYPERLINK("https://youtu.be/YR51g0pEjx8?t=8519","channel 2")</f>
        <v>channel 2</v>
      </c>
    </row>
    <row r="110">
      <c r="A110" s="7"/>
      <c r="B110" s="10" t="s">
        <v>511</v>
      </c>
      <c r="C110" s="12" t="s">
        <v>418</v>
      </c>
      <c r="D110" s="10" t="s">
        <v>267</v>
      </c>
      <c r="E110" s="13" t="str">
        <f>HYPERLINK("https://youtu.be/2e2W9ppWmZU?t=8614","channel 4")</f>
        <v>channel 4</v>
      </c>
    </row>
    <row r="111">
      <c r="A111" s="7"/>
      <c r="B111" s="2" t="s">
        <v>320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47" t="s">
        <v>523</v>
      </c>
      <c r="C113" s="12" t="s">
        <v>141</v>
      </c>
      <c r="D113" s="10" t="s">
        <v>525</v>
      </c>
      <c r="E113" s="36" t="str">
        <f>HYPERLINK("https://youtu.be/e_F5bSS6D9c","channel 2")</f>
        <v>channel 2</v>
      </c>
    </row>
    <row r="114">
      <c r="A114" s="7"/>
      <c r="B114" s="10" t="s">
        <v>527</v>
      </c>
      <c r="C114" s="12" t="s">
        <v>460</v>
      </c>
      <c r="D114" s="10" t="s">
        <v>368</v>
      </c>
      <c r="E114" s="13" t="str">
        <f>HYPERLINK("https://youtu.be/1PLKyyPW1Ic","channel 4")</f>
        <v>channel 4</v>
      </c>
    </row>
    <row r="115">
      <c r="A115" s="7"/>
      <c r="B115" s="10" t="s">
        <v>528</v>
      </c>
      <c r="C115" s="12" t="s">
        <v>90</v>
      </c>
      <c r="D115" s="10" t="s">
        <v>523</v>
      </c>
      <c r="E115" s="36" t="str">
        <f>HYPERLINK("https://youtu.be/e_F5bSS6D9c?t=947","channel 2")</f>
        <v>channel 2</v>
      </c>
    </row>
    <row r="116">
      <c r="A116" s="7"/>
      <c r="B116" s="10" t="s">
        <v>527</v>
      </c>
      <c r="C116" s="12" t="s">
        <v>104</v>
      </c>
      <c r="D116" s="10" t="s">
        <v>525</v>
      </c>
      <c r="E116" s="13" t="str">
        <f>HYPERLINK("https://youtu.be/1PLKyyPW1Ic?t=1112","channel 4")</f>
        <v>channel 4</v>
      </c>
    </row>
    <row r="117">
      <c r="A117" s="7"/>
      <c r="B117" s="10" t="s">
        <v>528</v>
      </c>
      <c r="C117" s="12" t="s">
        <v>146</v>
      </c>
      <c r="D117" s="10" t="s">
        <v>368</v>
      </c>
      <c r="E117" s="36" t="str">
        <f>HYPERLINK("https://youtu.be/e_F5bSS6D9c?t=1857","channel 2")</f>
        <v>channel 2</v>
      </c>
    </row>
    <row r="118">
      <c r="A118" s="7"/>
      <c r="B118" s="10" t="s">
        <v>527</v>
      </c>
      <c r="C118" s="12" t="s">
        <v>148</v>
      </c>
      <c r="D118" s="10" t="s">
        <v>523</v>
      </c>
      <c r="E118" s="13" t="str">
        <f>HYPERLINK("https://youtu.be/1PLKyyPW1Ic?t=2003","channel 4")</f>
        <v>channel 4</v>
      </c>
    </row>
    <row r="119">
      <c r="A119" s="7"/>
      <c r="B119" s="10" t="s">
        <v>528</v>
      </c>
      <c r="C119" s="12" t="s">
        <v>103</v>
      </c>
      <c r="D119" s="10" t="s">
        <v>525</v>
      </c>
      <c r="E119" s="36" t="str">
        <f>HYPERLINK("https://youtu.be/e_F5bSS6D9c?t=2778","channel 2")</f>
        <v>channel 2</v>
      </c>
    </row>
    <row r="120">
      <c r="A120" s="7"/>
      <c r="B120" s="10" t="s">
        <v>368</v>
      </c>
      <c r="C120" s="12" t="s">
        <v>138</v>
      </c>
      <c r="D120" s="10" t="s">
        <v>523</v>
      </c>
      <c r="E120" s="13" t="str">
        <f>HYPERLINK("https://youtu.be/1PLKyyPW1Ic?t=2923","channel 4")</f>
        <v>channel 4</v>
      </c>
    </row>
    <row r="121">
      <c r="A121" s="7"/>
      <c r="B121" s="10" t="s">
        <v>528</v>
      </c>
      <c r="C121" s="12" t="s">
        <v>34</v>
      </c>
      <c r="D121" s="10" t="s">
        <v>527</v>
      </c>
      <c r="E121" s="36" t="str">
        <f>HYPERLINK("https://youtu.be/e_F5bSS6D9c?t=3684","channel 2")</f>
        <v>channel 2</v>
      </c>
    </row>
    <row r="122">
      <c r="A122" s="7"/>
      <c r="B122" s="10" t="s">
        <v>368</v>
      </c>
      <c r="C122" s="12" t="s">
        <v>117</v>
      </c>
      <c r="D122" s="10" t="s">
        <v>525</v>
      </c>
      <c r="E122" s="13" t="str">
        <f>HYPERLINK("https://youtu.be/1PLKyyPW1Ic?t=3831","channel 4")</f>
        <v>channel 4</v>
      </c>
    </row>
    <row r="123">
      <c r="A123" s="7"/>
      <c r="B123" s="10" t="s">
        <v>525</v>
      </c>
      <c r="C123" s="12" t="s">
        <v>59</v>
      </c>
      <c r="D123" s="10" t="s">
        <v>523</v>
      </c>
      <c r="E123" s="36" t="str">
        <f>HYPERLINK("https://youtu.be/e_F5bSS6D9c?t=4589","channel 2")</f>
        <v>channel 2</v>
      </c>
    </row>
    <row r="124">
      <c r="A124" s="7"/>
      <c r="B124" s="10" t="s">
        <v>368</v>
      </c>
      <c r="C124" s="12" t="s">
        <v>530</v>
      </c>
      <c r="D124" s="10" t="s">
        <v>527</v>
      </c>
      <c r="E124" s="13" t="str">
        <f>HYPERLINK("https://youtu.be/1PLKyyPW1Ic?t=4764","channel 4")</f>
        <v>channel 4</v>
      </c>
    </row>
    <row r="125">
      <c r="A125" s="7"/>
      <c r="B125" s="10" t="s">
        <v>523</v>
      </c>
      <c r="C125" s="12" t="s">
        <v>135</v>
      </c>
      <c r="D125" s="10" t="s">
        <v>528</v>
      </c>
      <c r="E125" s="36" t="str">
        <f>HYPERLINK("https://youtu.be/e_F5bSS6D9c?t=5489","channel 2")</f>
        <v>channel 2</v>
      </c>
    </row>
    <row r="126">
      <c r="A126" s="7"/>
      <c r="B126" s="10" t="s">
        <v>525</v>
      </c>
      <c r="C126" s="12" t="s">
        <v>196</v>
      </c>
      <c r="D126" s="10" t="s">
        <v>527</v>
      </c>
      <c r="E126" s="13" t="str">
        <f>HYPERLINK("https://youtu.be/1PLKyyPW1Ic?t=5669","channel 4")</f>
        <v>channel 4</v>
      </c>
    </row>
    <row r="127">
      <c r="A127" s="7"/>
      <c r="B127" s="10" t="s">
        <v>368</v>
      </c>
      <c r="C127" s="12" t="s">
        <v>308</v>
      </c>
      <c r="D127" s="10" t="s">
        <v>528</v>
      </c>
      <c r="E127" s="36" t="str">
        <f>HYPERLINK("https://youtu.be/e_F5bSS6D9c?t=6491","channel 2")</f>
        <v>channel 2</v>
      </c>
    </row>
    <row r="128">
      <c r="A128" s="7"/>
      <c r="B128" s="10" t="s">
        <v>523</v>
      </c>
      <c r="C128" s="12" t="s">
        <v>350</v>
      </c>
      <c r="D128" s="10" t="s">
        <v>527</v>
      </c>
      <c r="E128" s="13" t="str">
        <f>HYPERLINK("https://youtu.be/1PLKyyPW1Ic?t=6675","channel 4")</f>
        <v>channel 4</v>
      </c>
    </row>
    <row r="129">
      <c r="A129" s="7"/>
      <c r="B129" s="10" t="s">
        <v>525</v>
      </c>
      <c r="C129" s="12" t="s">
        <v>232</v>
      </c>
      <c r="D129" s="10" t="s">
        <v>528</v>
      </c>
      <c r="E129" s="36" t="str">
        <f>HYPERLINK("https://youtu.be/e_F5bSS6D9c?t=7454","channel 2")</f>
        <v>channel 2</v>
      </c>
    </row>
    <row r="130">
      <c r="A130" s="7"/>
      <c r="B130" s="10" t="s">
        <v>523</v>
      </c>
      <c r="C130" s="12" t="s">
        <v>213</v>
      </c>
      <c r="D130" s="10" t="s">
        <v>368</v>
      </c>
      <c r="E130" s="13" t="str">
        <f>HYPERLINK("https://youtu.be/1PLKyyPW1Ic?t=7648","channel 4")</f>
        <v>channel 4</v>
      </c>
    </row>
    <row r="131">
      <c r="A131" s="7"/>
      <c r="B131" s="10" t="s">
        <v>527</v>
      </c>
      <c r="C131" s="12" t="s">
        <v>106</v>
      </c>
      <c r="D131" s="10" t="s">
        <v>528</v>
      </c>
      <c r="E131" s="36" t="str">
        <f>HYPERLINK("https://youtu.be/e_F5bSS6D9c?t=8522","channel 2")</f>
        <v>channel 2</v>
      </c>
    </row>
    <row r="132">
      <c r="A132" s="25"/>
      <c r="B132" s="10" t="s">
        <v>525</v>
      </c>
      <c r="C132" s="12" t="s">
        <v>32</v>
      </c>
      <c r="D132" s="10" t="s">
        <v>368</v>
      </c>
      <c r="E132" s="13" t="str">
        <f>HYPERLINK("https://youtu.be/1PLKyyPW1Ic?t=8635","channel 4")</f>
        <v>channel 4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531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532</v>
      </c>
      <c r="C3" s="12" t="s">
        <v>32</v>
      </c>
      <c r="D3" s="10" t="s">
        <v>533</v>
      </c>
      <c r="E3" s="36" t="str">
        <f>HYPERLINK("https://youtu.be/59ubV-yidPk","channel 1")</f>
        <v>channel 1</v>
      </c>
    </row>
    <row r="4">
      <c r="A4" s="7"/>
      <c r="B4" s="10" t="s">
        <v>534</v>
      </c>
      <c r="C4" s="37" t="s">
        <v>35</v>
      </c>
      <c r="D4" s="10" t="s">
        <v>535</v>
      </c>
      <c r="E4" s="13" t="str">
        <f>HYPERLINK("https://youtu.be/_47birgidd4","channel 2")</f>
        <v>channel 2</v>
      </c>
    </row>
    <row r="5">
      <c r="A5" s="7"/>
      <c r="B5" s="10" t="s">
        <v>536</v>
      </c>
      <c r="C5" s="12" t="s">
        <v>97</v>
      </c>
      <c r="D5" s="10" t="s">
        <v>532</v>
      </c>
      <c r="E5" s="36" t="str">
        <f>HYPERLINK("https://youtu.be/59ubV-yidPk?t=947","channel 1")</f>
        <v>channel 1</v>
      </c>
    </row>
    <row r="6">
      <c r="A6" s="7"/>
      <c r="B6" s="10" t="s">
        <v>534</v>
      </c>
      <c r="C6" s="12" t="s">
        <v>34</v>
      </c>
      <c r="D6" s="10" t="s">
        <v>533</v>
      </c>
      <c r="E6" s="13" t="str">
        <f>HYPERLINK("https://youtu.be/_47birgidd4?t=935","channel 2")</f>
        <v>channel 2</v>
      </c>
    </row>
    <row r="7">
      <c r="A7" s="7"/>
      <c r="B7" s="10" t="s">
        <v>536</v>
      </c>
      <c r="C7" s="12" t="s">
        <v>307</v>
      </c>
      <c r="D7" s="10" t="s">
        <v>535</v>
      </c>
      <c r="E7" s="36" t="str">
        <f>HYPERLINK("https://youtu.be/59ubV-yidPk?t=1867","channel 1")</f>
        <v>channel 1</v>
      </c>
    </row>
    <row r="8">
      <c r="A8" s="7"/>
      <c r="B8" s="10" t="s">
        <v>534</v>
      </c>
      <c r="C8" s="12" t="s">
        <v>277</v>
      </c>
      <c r="D8" s="10" t="s">
        <v>532</v>
      </c>
      <c r="E8" s="13" t="str">
        <f>HYPERLINK("https://youtu.be/_47birgidd4?t=1935","channel 2")</f>
        <v>channel 2</v>
      </c>
    </row>
    <row r="9">
      <c r="A9" s="7"/>
      <c r="B9" s="10" t="s">
        <v>536</v>
      </c>
      <c r="C9" s="12" t="s">
        <v>34</v>
      </c>
      <c r="D9" s="10" t="s">
        <v>533</v>
      </c>
      <c r="E9" s="36" t="str">
        <f>HYPERLINK("https://youtu.be/59ubV-yidPk?t=2884","channel 1")</f>
        <v>channel 1</v>
      </c>
    </row>
    <row r="10">
      <c r="A10" s="7"/>
      <c r="B10" s="10" t="s">
        <v>535</v>
      </c>
      <c r="C10" s="12" t="s">
        <v>225</v>
      </c>
      <c r="D10" s="10" t="s">
        <v>532</v>
      </c>
      <c r="E10" s="13" t="str">
        <f>HYPERLINK("https://youtu.be/_47birgidd4?t=2870","channel 2")</f>
        <v>channel 2</v>
      </c>
    </row>
    <row r="11">
      <c r="A11" s="7"/>
      <c r="B11" s="10" t="s">
        <v>536</v>
      </c>
      <c r="C11" s="12" t="s">
        <v>179</v>
      </c>
      <c r="D11" s="10" t="s">
        <v>534</v>
      </c>
      <c r="E11" s="36" t="str">
        <f>HYPERLINK("https://youtu.be/59ubV-yidPk?t=3779","channel 1")</f>
        <v>channel 1</v>
      </c>
    </row>
    <row r="12">
      <c r="A12" s="7"/>
      <c r="B12" s="10" t="s">
        <v>535</v>
      </c>
      <c r="C12" s="12" t="s">
        <v>43</v>
      </c>
      <c r="D12" s="10" t="s">
        <v>533</v>
      </c>
      <c r="E12" s="13" t="str">
        <f>HYPERLINK("https://youtu.be/_47birgidd4?t=3811","channel 2")</f>
        <v>channel 2</v>
      </c>
    </row>
    <row r="13">
      <c r="A13" s="7"/>
      <c r="B13" s="10" t="s">
        <v>533</v>
      </c>
      <c r="C13" s="12" t="s">
        <v>47</v>
      </c>
      <c r="D13" s="10" t="s">
        <v>532</v>
      </c>
      <c r="E13" s="36" t="str">
        <f>HYPERLINK("https://youtu.be/59ubV-yidPk?t=4664","channel 1")</f>
        <v>channel 1</v>
      </c>
    </row>
    <row r="14">
      <c r="A14" s="7"/>
      <c r="B14" s="10" t="s">
        <v>535</v>
      </c>
      <c r="C14" s="12" t="s">
        <v>278</v>
      </c>
      <c r="D14" s="10" t="s">
        <v>534</v>
      </c>
      <c r="E14" s="13" t="str">
        <f>HYPERLINK("https://youtu.be/_47birgidd4?t=4791","channel 2")</f>
        <v>channel 2</v>
      </c>
    </row>
    <row r="15">
      <c r="A15" s="7"/>
      <c r="B15" s="10" t="s">
        <v>532</v>
      </c>
      <c r="C15" s="46" t="s">
        <v>144</v>
      </c>
      <c r="D15" s="10" t="s">
        <v>536</v>
      </c>
      <c r="E15" s="36" t="str">
        <f>HYPERLINK("https://youtu.be/59ubV-yidPk?t=5624","channel 1")</f>
        <v>channel 1</v>
      </c>
    </row>
    <row r="16">
      <c r="A16" s="7"/>
      <c r="B16" s="10" t="s">
        <v>533</v>
      </c>
      <c r="C16" s="12" t="s">
        <v>37</v>
      </c>
      <c r="D16" s="10" t="s">
        <v>534</v>
      </c>
      <c r="E16" s="13" t="str">
        <f>HYPERLINK("https://youtu.be/_47birgidd4?t=5756","channel 2")</f>
        <v>channel 2</v>
      </c>
    </row>
    <row r="17">
      <c r="A17" s="7"/>
      <c r="B17" s="10" t="s">
        <v>535</v>
      </c>
      <c r="C17" s="12" t="s">
        <v>101</v>
      </c>
      <c r="D17" s="10" t="s">
        <v>536</v>
      </c>
      <c r="E17" s="36" t="str">
        <f>HYPERLINK("https://youtu.be/59ubV-yidPk?t=6536","channel 1")</f>
        <v>channel 1</v>
      </c>
    </row>
    <row r="18">
      <c r="A18" s="7"/>
      <c r="B18" s="10" t="s">
        <v>532</v>
      </c>
      <c r="C18" s="12" t="s">
        <v>277</v>
      </c>
      <c r="D18" s="10" t="s">
        <v>534</v>
      </c>
      <c r="E18" s="13" t="str">
        <f>HYPERLINK("https://youtu.be/_47birgidd4?t=6566","channel 2")</f>
        <v>channel 2</v>
      </c>
    </row>
    <row r="19">
      <c r="A19" s="7"/>
      <c r="B19" s="10" t="s">
        <v>533</v>
      </c>
      <c r="C19" s="12" t="s">
        <v>124</v>
      </c>
      <c r="D19" s="10" t="s">
        <v>536</v>
      </c>
      <c r="E19" s="36" t="str">
        <f>HYPERLINK("https://youtu.be/59ubV-yidPk?t=7504","channel 1")</f>
        <v>channel 1</v>
      </c>
    </row>
    <row r="20">
      <c r="A20" s="7"/>
      <c r="B20" s="10" t="s">
        <v>532</v>
      </c>
      <c r="C20" s="12" t="s">
        <v>56</v>
      </c>
      <c r="D20" s="10" t="s">
        <v>535</v>
      </c>
      <c r="E20" s="13" t="str">
        <f>HYPERLINK("https://youtu.be/_47birgidd4?t=7652","channel 2")</f>
        <v>channel 2</v>
      </c>
    </row>
    <row r="21">
      <c r="A21" s="7"/>
      <c r="B21" s="10" t="s">
        <v>534</v>
      </c>
      <c r="C21" s="12" t="s">
        <v>319</v>
      </c>
      <c r="D21" s="10" t="s">
        <v>536</v>
      </c>
      <c r="E21" s="36" t="str">
        <f>HYPERLINK("https://youtu.be/59ubV-yidPk?t=8413","channel 1")</f>
        <v>channel 1</v>
      </c>
    </row>
    <row r="22">
      <c r="A22" s="7"/>
      <c r="B22" s="10" t="s">
        <v>533</v>
      </c>
      <c r="C22" s="12" t="s">
        <v>109</v>
      </c>
      <c r="D22" s="10" t="s">
        <v>535</v>
      </c>
      <c r="E22" s="13" t="str">
        <f>HYPERLINK("https://youtu.be/_47birgidd4?t=8477","channel 2")</f>
        <v>channel 2</v>
      </c>
    </row>
    <row r="23">
      <c r="A23" s="7"/>
      <c r="B23" s="2" t="s">
        <v>64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537</v>
      </c>
      <c r="C25" s="12" t="s">
        <v>538</v>
      </c>
      <c r="D25" s="10" t="s">
        <v>539</v>
      </c>
      <c r="E25" s="36" t="str">
        <f>HYPERLINK("https://youtu.be/Q4-H38BKQiU","channel 1")</f>
        <v>channel 1</v>
      </c>
    </row>
    <row r="26">
      <c r="A26" s="7"/>
      <c r="B26" s="10" t="s">
        <v>540</v>
      </c>
      <c r="C26" s="12" t="s">
        <v>184</v>
      </c>
      <c r="D26" s="10" t="s">
        <v>541</v>
      </c>
      <c r="E26" s="13" t="str">
        <f>HYPERLINK("https://youtu.be/v7vA5ODz5dU","channel 2")</f>
        <v>channel 2</v>
      </c>
    </row>
    <row r="27">
      <c r="A27" s="7"/>
      <c r="B27" s="10" t="s">
        <v>542</v>
      </c>
      <c r="C27" s="12" t="s">
        <v>213</v>
      </c>
      <c r="D27" s="10" t="s">
        <v>537</v>
      </c>
      <c r="E27" s="36" t="str">
        <f>HYPERLINK("https://youtu.be/Q4-H38BKQiU?t=1065","channel 1")</f>
        <v>channel 1</v>
      </c>
    </row>
    <row r="28">
      <c r="A28" s="7"/>
      <c r="B28" s="10" t="s">
        <v>540</v>
      </c>
      <c r="C28" s="12" t="s">
        <v>146</v>
      </c>
      <c r="D28" s="10" t="s">
        <v>539</v>
      </c>
      <c r="E28" s="13" t="str">
        <f>HYPERLINK("https://youtu.be/v7vA5ODz5dU?t=866","channel 2")</f>
        <v>channel 2</v>
      </c>
    </row>
    <row r="29">
      <c r="A29" s="7"/>
      <c r="B29" s="10" t="s">
        <v>542</v>
      </c>
      <c r="C29" s="12" t="s">
        <v>111</v>
      </c>
      <c r="D29" s="10" t="s">
        <v>541</v>
      </c>
      <c r="E29" s="36" t="str">
        <f>HYPERLINK("https://youtu.be/Q4-H38BKQiU?t=2025","channel 1")</f>
        <v>channel 1</v>
      </c>
    </row>
    <row r="30">
      <c r="A30" s="7"/>
      <c r="B30" s="10" t="s">
        <v>540</v>
      </c>
      <c r="C30" s="12" t="s">
        <v>543</v>
      </c>
      <c r="D30" s="10" t="s">
        <v>537</v>
      </c>
      <c r="E30" s="13" t="str">
        <f>HYPERLINK("https://youtu.be/v7vA5ODz5dU?t=1907","channel 2")</f>
        <v>channel 2</v>
      </c>
    </row>
    <row r="31">
      <c r="A31" s="7"/>
      <c r="B31" s="10" t="s">
        <v>542</v>
      </c>
      <c r="C31" s="12" t="s">
        <v>223</v>
      </c>
      <c r="D31" s="10" t="s">
        <v>539</v>
      </c>
      <c r="E31" s="36" t="str">
        <f>HYPERLINK("https://youtu.be/Q4-H38BKQiU?t=2996","channel 1")</f>
        <v>channel 1</v>
      </c>
    </row>
    <row r="32">
      <c r="A32" s="7"/>
      <c r="B32" s="10" t="s">
        <v>541</v>
      </c>
      <c r="C32" s="12" t="s">
        <v>304</v>
      </c>
      <c r="D32" s="10" t="s">
        <v>537</v>
      </c>
      <c r="E32" s="13" t="str">
        <f>HYPERLINK("https://youtu.be/v7vA5ODz5dU?t=2934","channel 2")</f>
        <v>channel 2</v>
      </c>
    </row>
    <row r="33">
      <c r="A33" s="7"/>
      <c r="B33" s="10" t="s">
        <v>542</v>
      </c>
      <c r="C33" s="12" t="s">
        <v>544</v>
      </c>
      <c r="D33" s="10" t="s">
        <v>540</v>
      </c>
      <c r="E33" s="36" t="str">
        <f>HYPERLINK("https://youtu.be/Q4-H38BKQiU?t=3943","channel 1")</f>
        <v>channel 1</v>
      </c>
    </row>
    <row r="34">
      <c r="A34" s="7"/>
      <c r="B34" s="10" t="s">
        <v>541</v>
      </c>
      <c r="C34" s="12" t="s">
        <v>108</v>
      </c>
      <c r="D34" s="10" t="s">
        <v>539</v>
      </c>
      <c r="E34" s="13" t="str">
        <f>HYPERLINK("https://youtu.be/v7vA5ODz5dU?t=3840","channel 2")</f>
        <v>channel 2</v>
      </c>
    </row>
    <row r="35">
      <c r="A35" s="7"/>
      <c r="B35" s="10" t="s">
        <v>539</v>
      </c>
      <c r="C35" s="12" t="s">
        <v>59</v>
      </c>
      <c r="D35" s="10" t="s">
        <v>537</v>
      </c>
      <c r="E35" s="36" t="str">
        <f>HYPERLINK("https://youtu.be/Q4-H38BKQiU?t=5007","channel 1")</f>
        <v>channel 1</v>
      </c>
    </row>
    <row r="36">
      <c r="A36" s="7"/>
      <c r="B36" s="10" t="s">
        <v>541</v>
      </c>
      <c r="C36" s="12" t="s">
        <v>383</v>
      </c>
      <c r="D36" s="10" t="s">
        <v>540</v>
      </c>
      <c r="E36" s="13" t="str">
        <f>HYPERLINK("https://youtu.be/v7vA5ODz5dU?t=4841","channel 2")</f>
        <v>channel 2</v>
      </c>
    </row>
    <row r="37">
      <c r="A37" s="7"/>
      <c r="B37" s="10" t="s">
        <v>537</v>
      </c>
      <c r="C37" s="12" t="s">
        <v>99</v>
      </c>
      <c r="D37" s="10" t="s">
        <v>542</v>
      </c>
      <c r="E37" s="36" t="str">
        <f>HYPERLINK("https://youtu.be/Q4-H38BKQiU?t=5937","channel 1")</f>
        <v>channel 1</v>
      </c>
    </row>
    <row r="38">
      <c r="A38" s="7"/>
      <c r="B38" s="10" t="s">
        <v>539</v>
      </c>
      <c r="C38" s="12" t="s">
        <v>213</v>
      </c>
      <c r="D38" s="10" t="s">
        <v>540</v>
      </c>
      <c r="E38" s="13" t="str">
        <f>HYPERLINK("https://youtu.be/v7vA5ODz5dU?t=5718","channel 2")</f>
        <v>channel 2</v>
      </c>
    </row>
    <row r="39">
      <c r="A39" s="7"/>
      <c r="B39" s="10" t="s">
        <v>541</v>
      </c>
      <c r="C39" s="18" t="s">
        <v>545</v>
      </c>
      <c r="D39" s="10" t="s">
        <v>542</v>
      </c>
      <c r="E39" s="36" t="str">
        <f>HYPERLINK("https://youtu.be/Q4-H38BKQiU?t=6843","channel 1")</f>
        <v>channel 1</v>
      </c>
    </row>
    <row r="40">
      <c r="A40" s="7"/>
      <c r="B40" s="10" t="s">
        <v>537</v>
      </c>
      <c r="C40" s="12" t="s">
        <v>322</v>
      </c>
      <c r="D40" s="10" t="s">
        <v>540</v>
      </c>
      <c r="E40" s="13" t="str">
        <f>HYPERLINK("https://youtu.be/v7vA5ODz5dU?t=6854","channel 2")</f>
        <v>channel 2</v>
      </c>
    </row>
    <row r="41">
      <c r="A41" s="7"/>
      <c r="B41" s="10" t="s">
        <v>539</v>
      </c>
      <c r="C41" s="12" t="s">
        <v>141</v>
      </c>
      <c r="D41" s="10" t="s">
        <v>542</v>
      </c>
      <c r="E41" s="36" t="str">
        <f>HYPERLINK("https://youtu.be/Q4-H38BKQiU?t=7784","channel 1")</f>
        <v>channel 1</v>
      </c>
    </row>
    <row r="42">
      <c r="A42" s="7"/>
      <c r="B42" s="10" t="s">
        <v>537</v>
      </c>
      <c r="C42" s="12" t="s">
        <v>141</v>
      </c>
      <c r="D42" s="10" t="s">
        <v>541</v>
      </c>
      <c r="E42" s="13" t="str">
        <f>HYPERLINK("https://youtu.be/v7vA5ODz5dU?t=7701","channel 2")</f>
        <v>channel 2</v>
      </c>
    </row>
    <row r="43">
      <c r="A43" s="7"/>
      <c r="B43" s="10" t="s">
        <v>540</v>
      </c>
      <c r="C43" s="12" t="s">
        <v>35</v>
      </c>
      <c r="D43" s="10" t="s">
        <v>542</v>
      </c>
      <c r="E43" s="36" t="str">
        <f>HYPERLINK("https://youtu.be/Q4-H38BKQiU?t=8684","channel 1")</f>
        <v>channel 1</v>
      </c>
    </row>
    <row r="44">
      <c r="A44" s="7"/>
      <c r="B44" s="10" t="s">
        <v>539</v>
      </c>
      <c r="C44" s="12" t="s">
        <v>10</v>
      </c>
      <c r="D44" s="10" t="s">
        <v>541</v>
      </c>
      <c r="E44" s="13" t="str">
        <f>HYPERLINK("https://youtu.be/v7vA5ODz5dU?t=8552","channel 2")</f>
        <v>channel 2</v>
      </c>
    </row>
    <row r="45">
      <c r="A45" s="7"/>
      <c r="B45" s="2" t="s">
        <v>546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547</v>
      </c>
      <c r="C47" s="12" t="s">
        <v>180</v>
      </c>
      <c r="D47" s="10" t="s">
        <v>548</v>
      </c>
      <c r="E47" s="36" t="str">
        <f>HYPERLINK("https://youtu.be/wgAUW9VVME8","channel 1")</f>
        <v>channel 1</v>
      </c>
    </row>
    <row r="48">
      <c r="A48" s="7"/>
      <c r="B48" s="10" t="s">
        <v>549</v>
      </c>
      <c r="C48" s="12" t="s">
        <v>148</v>
      </c>
      <c r="D48" s="10" t="s">
        <v>550</v>
      </c>
      <c r="E48" s="13" t="str">
        <f>HYPERLINK("https://youtu.be/JTyjUH-YsSY","channel 2")</f>
        <v>channel 2</v>
      </c>
    </row>
    <row r="49">
      <c r="A49" s="7"/>
      <c r="B49" s="10" t="s">
        <v>23</v>
      </c>
      <c r="C49" s="12" t="s">
        <v>35</v>
      </c>
      <c r="D49" s="10" t="s">
        <v>547</v>
      </c>
      <c r="E49" s="36" t="str">
        <f>HYPERLINK("https://youtu.be/wgAUW9VVME8?t=913","channel 1")</f>
        <v>channel 1</v>
      </c>
    </row>
    <row r="50">
      <c r="A50" s="7"/>
      <c r="B50" s="10" t="s">
        <v>549</v>
      </c>
      <c r="C50" s="12" t="s">
        <v>145</v>
      </c>
      <c r="D50" s="10" t="s">
        <v>548</v>
      </c>
      <c r="E50" s="13" t="str">
        <f>HYPERLINK("https://youtu.be/JTyjUH-YsSY?t=863","channel 2")</f>
        <v>channel 2</v>
      </c>
    </row>
    <row r="51">
      <c r="A51" s="7"/>
      <c r="B51" s="10" t="s">
        <v>23</v>
      </c>
      <c r="C51" s="12" t="s">
        <v>104</v>
      </c>
      <c r="D51" s="48" t="s">
        <v>550</v>
      </c>
      <c r="E51" s="36" t="str">
        <f>HYPERLINK("https://youtu.be/wgAUW9VVME8?t=1827","channel 1")</f>
        <v>channel 1</v>
      </c>
    </row>
    <row r="52">
      <c r="A52" s="7"/>
      <c r="B52" s="10" t="s">
        <v>549</v>
      </c>
      <c r="C52" s="12" t="s">
        <v>436</v>
      </c>
      <c r="D52" s="10" t="s">
        <v>547</v>
      </c>
      <c r="E52" s="13" t="str">
        <f>HYPERLINK("https://youtu.be/JTyjUH-YsSY?t=1812","channel 2")</f>
        <v>channel 2</v>
      </c>
    </row>
    <row r="53">
      <c r="A53" s="7"/>
      <c r="B53" s="10" t="s">
        <v>23</v>
      </c>
      <c r="C53" s="12" t="s">
        <v>551</v>
      </c>
      <c r="D53" s="10" t="s">
        <v>548</v>
      </c>
      <c r="E53" s="36" t="str">
        <f>HYPERLINK("https://youtu.be/wgAUW9VVME8?t=2753","channel 1")</f>
        <v>channel 1</v>
      </c>
    </row>
    <row r="54">
      <c r="A54" s="7"/>
      <c r="B54" s="10" t="s">
        <v>550</v>
      </c>
      <c r="C54" s="12" t="s">
        <v>552</v>
      </c>
      <c r="D54" s="10" t="s">
        <v>547</v>
      </c>
      <c r="E54" s="13" t="str">
        <f>HYPERLINK("https://youtu.be/JTyjUH-YsSY?t=2775","channel 2")</f>
        <v>channel 2</v>
      </c>
    </row>
    <row r="55">
      <c r="A55" s="7"/>
      <c r="B55" s="10" t="s">
        <v>23</v>
      </c>
      <c r="C55" s="12" t="s">
        <v>138</v>
      </c>
      <c r="D55" s="10" t="s">
        <v>549</v>
      </c>
      <c r="E55" s="36" t="str">
        <f>HYPERLINK("https://youtu.be/wgAUW9VVME8?t=3666","channel 1")</f>
        <v>channel 1</v>
      </c>
    </row>
    <row r="56">
      <c r="A56" s="7"/>
      <c r="B56" s="10" t="s">
        <v>550</v>
      </c>
      <c r="C56" s="12" t="s">
        <v>553</v>
      </c>
      <c r="D56" s="10" t="s">
        <v>548</v>
      </c>
      <c r="E56" s="13" t="str">
        <f>HYPERLINK("https://youtu.be/JTyjUH-YsSY?t=3707","channel 2")</f>
        <v>channel 2</v>
      </c>
    </row>
    <row r="57">
      <c r="A57" s="7"/>
      <c r="B57" s="10" t="s">
        <v>548</v>
      </c>
      <c r="C57" s="12" t="s">
        <v>358</v>
      </c>
      <c r="D57" s="10" t="s">
        <v>547</v>
      </c>
      <c r="E57" s="36" t="str">
        <f>HYPERLINK("https://youtu.be/wgAUW9VVME8?t=4701","channel 1")</f>
        <v>channel 1</v>
      </c>
    </row>
    <row r="58">
      <c r="A58" s="7"/>
      <c r="B58" s="10" t="s">
        <v>550</v>
      </c>
      <c r="C58" s="12" t="s">
        <v>554</v>
      </c>
      <c r="D58" s="10" t="s">
        <v>549</v>
      </c>
      <c r="E58" s="13" t="str">
        <f>HYPERLINK("https://youtu.be/JTyjUH-YsSY?t=4653","channel 2")</f>
        <v>channel 2</v>
      </c>
    </row>
    <row r="59">
      <c r="A59" s="7"/>
      <c r="B59" s="10" t="s">
        <v>547</v>
      </c>
      <c r="C59" s="12" t="s">
        <v>89</v>
      </c>
      <c r="D59" s="10" t="s">
        <v>23</v>
      </c>
      <c r="E59" s="36" t="str">
        <f>HYPERLINK("https://youtu.be/wgAUW9VVME8?t=5592","channel 1")</f>
        <v>channel 1</v>
      </c>
    </row>
    <row r="60">
      <c r="A60" s="7"/>
      <c r="B60" s="10" t="s">
        <v>548</v>
      </c>
      <c r="C60" s="12" t="s">
        <v>89</v>
      </c>
      <c r="D60" s="10" t="s">
        <v>549</v>
      </c>
      <c r="E60" s="13" t="str">
        <f>HYPERLINK("https://youtu.be/JTyjUH-YsSY?t=5606","channel 2")</f>
        <v>channel 2</v>
      </c>
    </row>
    <row r="61">
      <c r="A61" s="7"/>
      <c r="B61" s="10" t="s">
        <v>550</v>
      </c>
      <c r="C61" s="12" t="s">
        <v>20</v>
      </c>
      <c r="D61" s="10" t="s">
        <v>23</v>
      </c>
      <c r="E61" s="36" t="str">
        <f>HYPERLINK("https://youtu.be/wgAUW9VVME8?t=6445","channel 1")</f>
        <v>channel 1</v>
      </c>
    </row>
    <row r="62">
      <c r="A62" s="7"/>
      <c r="B62" s="10" t="s">
        <v>547</v>
      </c>
      <c r="C62" s="18" t="s">
        <v>237</v>
      </c>
      <c r="D62" s="10" t="s">
        <v>549</v>
      </c>
      <c r="E62" s="13" t="str">
        <f>HYPERLINK("https://youtu.be/JTyjUH-YsSY?t=6490","channel 2")</f>
        <v>channel 2</v>
      </c>
    </row>
    <row r="63">
      <c r="A63" s="7"/>
      <c r="B63" s="10" t="s">
        <v>548</v>
      </c>
      <c r="C63" s="12" t="s">
        <v>272</v>
      </c>
      <c r="D63" s="10" t="s">
        <v>23</v>
      </c>
      <c r="E63" s="36" t="str">
        <f>HYPERLINK("https://youtu.be/wgAUW9VVME8?t=7407","channel 1")</f>
        <v>channel 1</v>
      </c>
    </row>
    <row r="64">
      <c r="A64" s="7"/>
      <c r="B64" s="10" t="s">
        <v>547</v>
      </c>
      <c r="C64" s="12" t="s">
        <v>555</v>
      </c>
      <c r="D64" s="10" t="s">
        <v>550</v>
      </c>
      <c r="E64" s="13" t="str">
        <f>HYPERLINK("https://youtu.be/JTyjUH-YsSY?t=7395","channel 2")</f>
        <v>channel 2</v>
      </c>
      <c r="G64" s="44" t="s">
        <v>556</v>
      </c>
    </row>
    <row r="65">
      <c r="A65" s="7"/>
      <c r="B65" s="10" t="s">
        <v>549</v>
      </c>
      <c r="C65" s="12" t="s">
        <v>212</v>
      </c>
      <c r="D65" s="10" t="s">
        <v>23</v>
      </c>
      <c r="E65" s="36" t="str">
        <f>HYPERLINK("https://youtu.be/wgAUW9VVME8?t=8365","channel 1")</f>
        <v>channel 1</v>
      </c>
    </row>
    <row r="66">
      <c r="A66" s="7"/>
      <c r="B66" s="10" t="s">
        <v>548</v>
      </c>
      <c r="C66" s="12" t="s">
        <v>260</v>
      </c>
      <c r="D66" s="10" t="s">
        <v>550</v>
      </c>
      <c r="E66" s="13" t="str">
        <f>HYPERLINK("https://youtu.be/JTyjUH-YsSY?t=8320","channel 2")</f>
        <v>channel 2</v>
      </c>
    </row>
    <row r="67">
      <c r="A67" s="7"/>
      <c r="B67" s="4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565</v>
      </c>
      <c r="C69" s="12" t="s">
        <v>124</v>
      </c>
      <c r="D69" s="10" t="s">
        <v>567</v>
      </c>
      <c r="E69" s="13" t="str">
        <f>HYPERLINK("https://youtu.be/Tj9vsMc2h8A","channel 2")</f>
        <v>channel 2</v>
      </c>
    </row>
    <row r="70">
      <c r="A70" s="7"/>
      <c r="B70" s="10" t="s">
        <v>475</v>
      </c>
      <c r="C70" s="12" t="s">
        <v>94</v>
      </c>
      <c r="D70" s="10" t="s">
        <v>568</v>
      </c>
      <c r="E70" s="13" t="str">
        <f>HYPERLINK("https://youtu.be/XyaJpZ39Eck","channel 4")</f>
        <v>channel 4</v>
      </c>
    </row>
    <row r="71">
      <c r="A71" s="7"/>
      <c r="B71" s="10" t="s">
        <v>120</v>
      </c>
      <c r="C71" s="12" t="s">
        <v>569</v>
      </c>
      <c r="D71" s="10" t="s">
        <v>565</v>
      </c>
      <c r="E71" s="13" t="str">
        <f>HYPERLINK("https://youtu.be/Tj9vsMc2h8A?t=1482","channel 2")</f>
        <v>channel 2</v>
      </c>
    </row>
    <row r="72">
      <c r="A72" s="7"/>
      <c r="B72" s="10" t="s">
        <v>475</v>
      </c>
      <c r="C72" s="12" t="s">
        <v>212</v>
      </c>
      <c r="D72" s="10" t="s">
        <v>567</v>
      </c>
      <c r="E72" s="13" t="str">
        <f>HYPERLINK("https://youtu.be/XyaJpZ39Eck?t=1490","channel 4")</f>
        <v>channel 4</v>
      </c>
    </row>
    <row r="73">
      <c r="A73" s="7"/>
      <c r="B73" s="10" t="s">
        <v>120</v>
      </c>
      <c r="C73" s="12" t="s">
        <v>285</v>
      </c>
      <c r="D73" s="10" t="s">
        <v>568</v>
      </c>
      <c r="E73" s="13" t="str">
        <f>HYPERLINK("https://youtu.be/Tj9vsMc2h8A?t=2517","channel 2")</f>
        <v>channel 2</v>
      </c>
    </row>
    <row r="74">
      <c r="A74" s="7"/>
      <c r="B74" s="10" t="s">
        <v>475</v>
      </c>
      <c r="C74" s="12" t="s">
        <v>190</v>
      </c>
      <c r="D74" s="10" t="s">
        <v>565</v>
      </c>
      <c r="E74" s="13" t="str">
        <f>HYPERLINK("https://youtu.be/XyaJpZ39Eck?t=2419","channel 4")</f>
        <v>channel 4</v>
      </c>
    </row>
    <row r="75">
      <c r="A75" s="7"/>
      <c r="B75" s="10" t="s">
        <v>120</v>
      </c>
      <c r="C75" s="12" t="s">
        <v>347</v>
      </c>
      <c r="D75" s="10" t="s">
        <v>567</v>
      </c>
      <c r="E75" s="13" t="str">
        <f>HYPERLINK("https://youtu.be/Tj9vsMc2h8A?t=3469","channel 2")</f>
        <v>channel 2</v>
      </c>
    </row>
    <row r="76">
      <c r="A76" s="7"/>
      <c r="B76" s="10" t="s">
        <v>568</v>
      </c>
      <c r="C76" s="12" t="s">
        <v>570</v>
      </c>
      <c r="D76" s="10" t="s">
        <v>565</v>
      </c>
      <c r="E76" s="13" t="str">
        <f>HYPERLINK("https://youtu.be/XyaJpZ39Eck?t=3356","channel 4")</f>
        <v>channel 4</v>
      </c>
    </row>
    <row r="77">
      <c r="A77" s="7"/>
      <c r="B77" s="10" t="s">
        <v>120</v>
      </c>
      <c r="C77" s="12" t="s">
        <v>571</v>
      </c>
      <c r="D77" s="10" t="s">
        <v>475</v>
      </c>
      <c r="E77" s="13" t="str">
        <f>HYPERLINK("https://youtu.be/Tj9vsMc2h8A?t=4390","channel 2")</f>
        <v>channel 2</v>
      </c>
    </row>
    <row r="78">
      <c r="A78" s="7"/>
      <c r="B78" s="10" t="s">
        <v>568</v>
      </c>
      <c r="C78" s="12" t="s">
        <v>156</v>
      </c>
      <c r="D78" s="10" t="s">
        <v>567</v>
      </c>
      <c r="E78" s="13" t="str">
        <f>HYPERLINK("https://youtu.be/XyaJpZ39Eck?t=4288","channel 4")</f>
        <v>channel 4</v>
      </c>
    </row>
    <row r="79">
      <c r="A79" s="7"/>
      <c r="B79" s="10" t="s">
        <v>567</v>
      </c>
      <c r="C79" s="12" t="s">
        <v>55</v>
      </c>
      <c r="D79" s="10" t="s">
        <v>565</v>
      </c>
      <c r="E79" s="13" t="str">
        <f>HYPERLINK("https://youtu.be/Tj9vsMc2h8A?t=5342","channel 2")</f>
        <v>channel 2</v>
      </c>
    </row>
    <row r="80">
      <c r="A80" s="7"/>
      <c r="B80" s="10" t="s">
        <v>568</v>
      </c>
      <c r="C80" s="12" t="s">
        <v>239</v>
      </c>
      <c r="D80" s="10" t="s">
        <v>475</v>
      </c>
      <c r="E80" s="13" t="str">
        <f>HYPERLINK("https://youtu.be/XyaJpZ39Eck?t=5261","channel 4")</f>
        <v>channel 4</v>
      </c>
    </row>
    <row r="81">
      <c r="A81" s="7"/>
      <c r="B81" s="10" t="s">
        <v>565</v>
      </c>
      <c r="C81" s="12" t="s">
        <v>573</v>
      </c>
      <c r="D81" s="10" t="s">
        <v>120</v>
      </c>
      <c r="E81" s="13" t="str">
        <f>HYPERLINK("https://youtu.be/Tj9vsMc2h8A?t=6307","channel 2")</f>
        <v>channel 2</v>
      </c>
    </row>
    <row r="82">
      <c r="A82" s="7"/>
      <c r="B82" s="10" t="s">
        <v>567</v>
      </c>
      <c r="C82" s="37" t="s">
        <v>577</v>
      </c>
      <c r="D82" s="10" t="s">
        <v>475</v>
      </c>
      <c r="E82" s="13" t="str">
        <f>HYPERLINK("https://youtu.be/XyaJpZ39Eck?t=6229","channel 4")</f>
        <v>channel 4</v>
      </c>
    </row>
    <row r="83">
      <c r="A83" s="7"/>
      <c r="B83" s="10" t="s">
        <v>568</v>
      </c>
      <c r="C83" s="12" t="s">
        <v>578</v>
      </c>
      <c r="D83" s="10" t="s">
        <v>120</v>
      </c>
      <c r="E83" s="13" t="str">
        <f>HYPERLINK("https://youtu.be/Tj9vsMc2h8A?t=7198","channel 2")</f>
        <v>channel 2</v>
      </c>
    </row>
    <row r="84">
      <c r="A84" s="7"/>
      <c r="B84" s="10" t="s">
        <v>565</v>
      </c>
      <c r="C84" s="12" t="s">
        <v>85</v>
      </c>
      <c r="D84" s="10" t="s">
        <v>475</v>
      </c>
      <c r="E84" s="13" t="str">
        <f>HYPERLINK("https://youtu.be/XyaJpZ39Eck?t=7233","channel 4")</f>
        <v>channel 4</v>
      </c>
    </row>
    <row r="85">
      <c r="A85" s="7"/>
      <c r="B85" s="10" t="s">
        <v>567</v>
      </c>
      <c r="C85" s="12" t="s">
        <v>30</v>
      </c>
      <c r="D85" s="10" t="s">
        <v>120</v>
      </c>
      <c r="E85" s="13" t="str">
        <f>HYPERLINK("https://youtu.be/Tj9vsMc2h8A?t=8145","channel 2")</f>
        <v>channel 2</v>
      </c>
    </row>
    <row r="86">
      <c r="A86" s="7"/>
      <c r="B86" s="10" t="s">
        <v>565</v>
      </c>
      <c r="C86" s="12" t="s">
        <v>522</v>
      </c>
      <c r="D86" s="10" t="s">
        <v>568</v>
      </c>
      <c r="E86" s="13" t="str">
        <f>HYPERLINK("https://youtu.be/XyaJpZ39Eck?t=8102","channel 4")</f>
        <v>channel 4</v>
      </c>
    </row>
    <row r="87">
      <c r="A87" s="7"/>
      <c r="B87" s="10" t="s">
        <v>475</v>
      </c>
      <c r="C87" s="12" t="s">
        <v>337</v>
      </c>
      <c r="D87" s="10" t="s">
        <v>120</v>
      </c>
      <c r="E87" s="13" t="str">
        <f>HYPERLINK("https://youtu.be/Tj9vsMc2h8A?t=9019","channel 2")</f>
        <v>channel 2</v>
      </c>
    </row>
    <row r="88">
      <c r="A88" s="7"/>
      <c r="B88" s="10" t="s">
        <v>567</v>
      </c>
      <c r="C88" s="12" t="s">
        <v>11</v>
      </c>
      <c r="D88" s="10" t="s">
        <v>568</v>
      </c>
      <c r="E88" s="13" t="str">
        <f>HYPERLINK("https://youtu.be/XyaJpZ39Eck?t=9022","channel 4")</f>
        <v>channel 4</v>
      </c>
    </row>
    <row r="89">
      <c r="A89" s="7"/>
      <c r="B89" s="2" t="s">
        <v>589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270</v>
      </c>
      <c r="C91" s="12" t="s">
        <v>109</v>
      </c>
      <c r="D91" s="10" t="s">
        <v>590</v>
      </c>
      <c r="E91" s="13" t="str">
        <f>HYPERLINK("https://youtu.be/PFFNlGmuQtE","channel 2")</f>
        <v>channel 2</v>
      </c>
    </row>
    <row r="92">
      <c r="A92" s="7"/>
      <c r="B92" s="10" t="s">
        <v>591</v>
      </c>
      <c r="C92" s="12" t="s">
        <v>296</v>
      </c>
      <c r="D92" s="10" t="s">
        <v>512</v>
      </c>
      <c r="E92" s="13" t="str">
        <f>HYPERLINK("https://youtu.be/Z-8LlX4m0ws","channel 4")</f>
        <v>channel 4</v>
      </c>
    </row>
    <row r="93">
      <c r="A93" s="7"/>
      <c r="B93" s="10" t="s">
        <v>592</v>
      </c>
      <c r="C93" s="12" t="s">
        <v>10</v>
      </c>
      <c r="D93" s="10" t="s">
        <v>270</v>
      </c>
      <c r="E93" s="13" t="str">
        <f>HYPERLINK("https://youtu.be/PFFNlGmuQtE?t=1346","channel 2")</f>
        <v>channel 2</v>
      </c>
    </row>
    <row r="94">
      <c r="A94" s="7"/>
      <c r="B94" s="10" t="s">
        <v>591</v>
      </c>
      <c r="C94" s="12" t="s">
        <v>194</v>
      </c>
      <c r="D94" s="10" t="s">
        <v>590</v>
      </c>
      <c r="E94" s="13" t="str">
        <f>HYPERLINK("https://youtu.be/Z-8LlX4m0ws?t=1316","channel 4")</f>
        <v>channel 4</v>
      </c>
    </row>
    <row r="95">
      <c r="A95" s="7"/>
      <c r="B95" s="10" t="s">
        <v>592</v>
      </c>
      <c r="C95" s="46" t="s">
        <v>593</v>
      </c>
      <c r="D95" s="10" t="s">
        <v>512</v>
      </c>
      <c r="E95" s="13" t="str">
        <f>HYPERLINK("https://youtu.be/PFFNlGmuQtE?t=2273","channel 2")</f>
        <v>channel 2</v>
      </c>
    </row>
    <row r="96">
      <c r="A96" s="7"/>
      <c r="B96" s="10" t="s">
        <v>591</v>
      </c>
      <c r="C96" s="12" t="s">
        <v>56</v>
      </c>
      <c r="D96" s="10" t="s">
        <v>270</v>
      </c>
      <c r="E96" s="13" t="str">
        <f>HYPERLINK("https://youtu.be/Z-8LlX4m0ws?t=2261","channel 4")</f>
        <v>channel 4</v>
      </c>
    </row>
    <row r="97">
      <c r="A97" s="7"/>
      <c r="B97" s="10" t="s">
        <v>592</v>
      </c>
      <c r="C97" s="12" t="s">
        <v>384</v>
      </c>
      <c r="D97" s="10" t="s">
        <v>590</v>
      </c>
      <c r="E97" s="13" t="str">
        <f>HYPERLINK("https://youtu.be/PFFNlGmuQtE?t=3181","channel 2")</f>
        <v>channel 2</v>
      </c>
    </row>
    <row r="98">
      <c r="A98" s="7"/>
      <c r="B98" s="10" t="s">
        <v>512</v>
      </c>
      <c r="C98" s="12" t="s">
        <v>138</v>
      </c>
      <c r="D98" s="10" t="s">
        <v>270</v>
      </c>
      <c r="E98" s="13" t="str">
        <f>HYPERLINK("https://youtu.be/Z-8LlX4m0ws?t=3145","channel 4")</f>
        <v>channel 4</v>
      </c>
    </row>
    <row r="99">
      <c r="A99" s="7"/>
      <c r="B99" s="10" t="s">
        <v>592</v>
      </c>
      <c r="C99" s="12" t="s">
        <v>124</v>
      </c>
      <c r="D99" s="10" t="s">
        <v>591</v>
      </c>
      <c r="E99" s="13" t="str">
        <f>HYPERLINK("https://youtu.be/PFFNlGmuQtE?t=4083","channel 2")</f>
        <v>channel 2</v>
      </c>
    </row>
    <row r="100">
      <c r="A100" s="7"/>
      <c r="B100" s="10" t="s">
        <v>512</v>
      </c>
      <c r="C100" s="12" t="s">
        <v>212</v>
      </c>
      <c r="D100" s="10" t="s">
        <v>590</v>
      </c>
      <c r="E100" s="13" t="str">
        <f>HYPERLINK("https://youtu.be/Z-8LlX4m0ws?t=4052","channel 4")</f>
        <v>channel 4</v>
      </c>
    </row>
    <row r="101">
      <c r="A101" s="7"/>
      <c r="B101" s="10" t="s">
        <v>590</v>
      </c>
      <c r="C101" s="12" t="s">
        <v>59</v>
      </c>
      <c r="D101" s="10" t="s">
        <v>270</v>
      </c>
      <c r="E101" s="13" t="str">
        <f>HYPERLINK("https://youtu.be/PFFNlGmuQtE?t=5004","channel 2")</f>
        <v>channel 2</v>
      </c>
    </row>
    <row r="102">
      <c r="A102" s="7"/>
      <c r="B102" s="10" t="s">
        <v>512</v>
      </c>
      <c r="C102" s="12" t="s">
        <v>598</v>
      </c>
      <c r="D102" s="10" t="s">
        <v>591</v>
      </c>
      <c r="E102" s="13" t="str">
        <f>HYPERLINK("https://youtu.be/Z-8LlX4m0ws?t=4923","channel 4")</f>
        <v>channel 4</v>
      </c>
    </row>
    <row r="103">
      <c r="A103" s="7"/>
      <c r="B103" s="10" t="s">
        <v>270</v>
      </c>
      <c r="C103" s="12" t="s">
        <v>104</v>
      </c>
      <c r="D103" s="10" t="s">
        <v>592</v>
      </c>
      <c r="E103" s="13" t="str">
        <f>HYPERLINK("https://youtu.be/PFFNlGmuQtE?t=5885","channel 2")</f>
        <v>channel 2</v>
      </c>
    </row>
    <row r="104">
      <c r="A104" s="7"/>
      <c r="B104" s="10" t="s">
        <v>590</v>
      </c>
      <c r="C104" s="12" t="s">
        <v>607</v>
      </c>
      <c r="D104" s="10" t="s">
        <v>591</v>
      </c>
      <c r="E104" s="13" t="str">
        <f>HYPERLINK("https://youtu.be/Z-8LlX4m0ws?t=5844","channel 4")</f>
        <v>channel 4</v>
      </c>
    </row>
    <row r="105">
      <c r="A105" s="7"/>
      <c r="B105" s="10" t="s">
        <v>512</v>
      </c>
      <c r="C105" s="12" t="s">
        <v>608</v>
      </c>
      <c r="D105" s="10" t="s">
        <v>592</v>
      </c>
      <c r="E105" s="13" t="str">
        <f>HYPERLINK("https://youtu.be/PFFNlGmuQtE?t=6755","channel 2")</f>
        <v>channel 2</v>
      </c>
    </row>
    <row r="106">
      <c r="A106" s="7"/>
      <c r="B106" s="10" t="s">
        <v>270</v>
      </c>
      <c r="C106" s="12" t="s">
        <v>444</v>
      </c>
      <c r="D106" s="10" t="s">
        <v>591</v>
      </c>
      <c r="E106" s="13" t="str">
        <f>HYPERLINK("https://youtu.be/Z-8LlX4m0ws?t=6765","channel 4")</f>
        <v>channel 4</v>
      </c>
    </row>
    <row r="107">
      <c r="A107" s="7"/>
      <c r="B107" s="10" t="s">
        <v>590</v>
      </c>
      <c r="C107" s="12" t="s">
        <v>82</v>
      </c>
      <c r="D107" s="10" t="s">
        <v>592</v>
      </c>
      <c r="E107" s="13" t="str">
        <f>HYPERLINK("https://youtu.be/PFFNlGmuQtE?t=7699","channel 2")</f>
        <v>channel 2</v>
      </c>
    </row>
    <row r="108">
      <c r="A108" s="7"/>
      <c r="B108" s="10" t="s">
        <v>270</v>
      </c>
      <c r="C108" s="12" t="s">
        <v>27</v>
      </c>
      <c r="D108" s="10" t="s">
        <v>512</v>
      </c>
      <c r="E108" s="13" t="str">
        <f>HYPERLINK("https://youtu.be/Z-8LlX4m0ws?t=7669","channel 4")</f>
        <v>channel 4</v>
      </c>
    </row>
    <row r="109">
      <c r="A109" s="7"/>
      <c r="B109" s="10" t="s">
        <v>591</v>
      </c>
      <c r="C109" s="12" t="s">
        <v>337</v>
      </c>
      <c r="D109" s="10" t="s">
        <v>592</v>
      </c>
      <c r="E109" s="13" t="str">
        <f>HYPERLINK("https://youtu.be/PFFNlGmuQtE?t=8632","channel 2")</f>
        <v>channel 2</v>
      </c>
    </row>
    <row r="110">
      <c r="A110" s="7"/>
      <c r="B110" s="10" t="s">
        <v>590</v>
      </c>
      <c r="C110" s="12" t="s">
        <v>10</v>
      </c>
      <c r="D110" s="10" t="s">
        <v>512</v>
      </c>
      <c r="E110" s="13" t="str">
        <f>HYPERLINK("https://youtu.be/Z-8LlX4m0ws?t=8583","channel 4")</f>
        <v>channel 4</v>
      </c>
    </row>
    <row r="111">
      <c r="A111" s="7"/>
      <c r="B111" s="2" t="s">
        <v>612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47" t="s">
        <v>613</v>
      </c>
      <c r="C113" s="12" t="s">
        <v>35</v>
      </c>
      <c r="D113" s="10" t="s">
        <v>614</v>
      </c>
      <c r="E113" s="13" t="str">
        <f>HYPERLINK("https://youtu.be/wIC7VIzeSQc","channel 2")</f>
        <v>channel 2</v>
      </c>
    </row>
    <row r="114">
      <c r="A114" s="7"/>
      <c r="B114" s="10" t="s">
        <v>130</v>
      </c>
      <c r="C114" s="12" t="s">
        <v>216</v>
      </c>
      <c r="D114" s="10" t="s">
        <v>615</v>
      </c>
      <c r="E114" s="13" t="str">
        <f>HYPERLINK("https://youtu.be/J_rd8MrEoI4","channel 4")</f>
        <v>channel 4</v>
      </c>
    </row>
    <row r="115">
      <c r="A115" s="7"/>
      <c r="B115" s="10" t="s">
        <v>200</v>
      </c>
      <c r="C115" s="12" t="s">
        <v>32</v>
      </c>
      <c r="D115" s="10" t="s">
        <v>613</v>
      </c>
      <c r="E115" s="13" t="str">
        <f>HYPERLINK("https://youtu.be/wIC7VIzeSQc?t=954","channel 2")</f>
        <v>channel 2</v>
      </c>
    </row>
    <row r="116">
      <c r="A116" s="7"/>
      <c r="B116" s="10" t="s">
        <v>130</v>
      </c>
      <c r="C116" s="12" t="s">
        <v>278</v>
      </c>
      <c r="D116" s="10" t="s">
        <v>614</v>
      </c>
      <c r="E116" s="13" t="str">
        <f>HYPERLINK("https://youtu.be/J_rd8MrEoI4?t=890","channel 4")</f>
        <v>channel 4</v>
      </c>
    </row>
    <row r="117">
      <c r="A117" s="7"/>
      <c r="B117" s="10" t="s">
        <v>200</v>
      </c>
      <c r="C117" s="12" t="s">
        <v>230</v>
      </c>
      <c r="D117" s="10" t="s">
        <v>615</v>
      </c>
      <c r="E117" s="13" t="str">
        <f>HYPERLINK("https://youtu.be/wIC7VIzeSQc?t=1815","channel 2")</f>
        <v>channel 2</v>
      </c>
    </row>
    <row r="118">
      <c r="A118" s="7"/>
      <c r="B118" s="10" t="s">
        <v>130</v>
      </c>
      <c r="C118" s="12" t="s">
        <v>30</v>
      </c>
      <c r="D118" s="10" t="s">
        <v>613</v>
      </c>
      <c r="E118" s="13" t="str">
        <f>HYPERLINK("https://youtu.be/J_rd8MrEoI4?t=1822","channel 4")</f>
        <v>channel 4</v>
      </c>
    </row>
    <row r="119">
      <c r="A119" s="7"/>
      <c r="B119" s="10" t="s">
        <v>200</v>
      </c>
      <c r="C119" s="12" t="s">
        <v>34</v>
      </c>
      <c r="D119" s="10" t="s">
        <v>614</v>
      </c>
      <c r="E119" s="13" t="str">
        <f>HYPERLINK("https://youtu.be/wIC7VIzeSQc?t=2719","channel 2")</f>
        <v>channel 2</v>
      </c>
    </row>
    <row r="120">
      <c r="A120" s="7"/>
      <c r="B120" s="10" t="s">
        <v>615</v>
      </c>
      <c r="C120" s="12" t="s">
        <v>87</v>
      </c>
      <c r="D120" s="10" t="s">
        <v>613</v>
      </c>
      <c r="E120" s="13" t="str">
        <f>HYPERLINK("https://youtu.be/J_rd8MrEoI4?t=2661","channel 4")</f>
        <v>channel 4</v>
      </c>
    </row>
    <row r="121">
      <c r="A121" s="7"/>
      <c r="B121" s="10" t="s">
        <v>200</v>
      </c>
      <c r="C121" s="12" t="s">
        <v>99</v>
      </c>
      <c r="D121" s="10" t="s">
        <v>130</v>
      </c>
      <c r="E121" s="13" t="str">
        <f>HYPERLINK("https://youtu.be/wIC7VIzeSQc?t=3619","channel 2")</f>
        <v>channel 2</v>
      </c>
    </row>
    <row r="122">
      <c r="A122" s="7"/>
      <c r="B122" s="10" t="s">
        <v>615</v>
      </c>
      <c r="C122" s="12" t="s">
        <v>624</v>
      </c>
      <c r="D122" s="10" t="s">
        <v>614</v>
      </c>
      <c r="E122" s="13" t="str">
        <f>HYPERLINK("https://youtu.be/J_rd8MrEoI4?t=3518","channel 4")</f>
        <v>channel 4</v>
      </c>
    </row>
    <row r="123">
      <c r="A123" s="7"/>
      <c r="B123" s="10" t="s">
        <v>614</v>
      </c>
      <c r="C123" s="12" t="s">
        <v>108</v>
      </c>
      <c r="D123" s="10" t="s">
        <v>613</v>
      </c>
      <c r="E123" s="13" t="str">
        <f>HYPERLINK("https://youtu.be/wIC7VIzeSQc?t=4532","channel 2")</f>
        <v>channel 2</v>
      </c>
    </row>
    <row r="124">
      <c r="A124" s="7"/>
      <c r="B124" s="10" t="s">
        <v>615</v>
      </c>
      <c r="C124" s="12" t="s">
        <v>628</v>
      </c>
      <c r="D124" s="10" t="s">
        <v>130</v>
      </c>
      <c r="E124" s="13" t="str">
        <f>HYPERLINK("https://youtu.be/J_rd8MrEoI4?t=4390","channel 4")</f>
        <v>channel 4</v>
      </c>
    </row>
    <row r="125">
      <c r="A125" s="7"/>
      <c r="B125" s="10" t="s">
        <v>613</v>
      </c>
      <c r="C125" s="12" t="s">
        <v>285</v>
      </c>
      <c r="D125" s="10" t="s">
        <v>200</v>
      </c>
      <c r="E125" s="13" t="str">
        <f>HYPERLINK("https://youtu.be/wIC7VIzeSQc?t=5371","channel 2")</f>
        <v>channel 2</v>
      </c>
    </row>
    <row r="126">
      <c r="A126" s="7"/>
      <c r="B126" s="10" t="s">
        <v>614</v>
      </c>
      <c r="C126" s="12" t="s">
        <v>184</v>
      </c>
      <c r="D126" s="10" t="s">
        <v>130</v>
      </c>
      <c r="E126" s="13" t="str">
        <f>HYPERLINK("https://youtu.be/J_rd8MrEoI4?t=5336","channel 4")</f>
        <v>channel 4</v>
      </c>
    </row>
    <row r="127">
      <c r="A127" s="7"/>
      <c r="B127" s="10" t="s">
        <v>615</v>
      </c>
      <c r="C127" s="12" t="s">
        <v>526</v>
      </c>
      <c r="D127" s="10" t="s">
        <v>200</v>
      </c>
      <c r="E127" s="13" t="str">
        <f>HYPERLINK("https://youtu.be/wIC7VIzeSQc?t=6260","channel 2")</f>
        <v>channel 2</v>
      </c>
    </row>
    <row r="128">
      <c r="A128" s="7"/>
      <c r="B128" s="10" t="s">
        <v>613</v>
      </c>
      <c r="C128" s="12" t="s">
        <v>77</v>
      </c>
      <c r="D128" s="10" t="s">
        <v>130</v>
      </c>
      <c r="E128" s="13" t="str">
        <f>HYPERLINK("https://youtu.be/J_rd8MrEoI4?t=6198","channel 4")</f>
        <v>channel 4</v>
      </c>
    </row>
    <row r="129">
      <c r="A129" s="7"/>
      <c r="B129" s="10" t="s">
        <v>614</v>
      </c>
      <c r="C129" s="12" t="s">
        <v>77</v>
      </c>
      <c r="D129" s="10" t="s">
        <v>200</v>
      </c>
      <c r="E129" s="13" t="str">
        <f>HYPERLINK("https://youtu.be/wIC7VIzeSQc?t=7151","channel 2")</f>
        <v>channel 2</v>
      </c>
    </row>
    <row r="130">
      <c r="A130" s="7"/>
      <c r="B130" s="10" t="s">
        <v>613</v>
      </c>
      <c r="C130" s="12" t="s">
        <v>307</v>
      </c>
      <c r="D130" s="10" t="s">
        <v>615</v>
      </c>
      <c r="E130" s="13" t="str">
        <f>HYPERLINK("https://youtu.be/J_rd8MrEoI4?t=7087","channel 4")</f>
        <v>channel 4</v>
      </c>
    </row>
    <row r="131">
      <c r="A131" s="7"/>
      <c r="B131" s="10" t="s">
        <v>130</v>
      </c>
      <c r="C131" s="12" t="s">
        <v>34</v>
      </c>
      <c r="D131" s="10" t="s">
        <v>200</v>
      </c>
      <c r="E131" s="13" t="str">
        <f>HYPERLINK("https://youtu.be/wIC7VIzeSQc?t=8527","channel 2")</f>
        <v>channel 2</v>
      </c>
    </row>
    <row r="132">
      <c r="A132" s="25"/>
      <c r="B132" s="10" t="s">
        <v>614</v>
      </c>
      <c r="C132" s="12" t="s">
        <v>103</v>
      </c>
      <c r="D132" s="10" t="s">
        <v>615</v>
      </c>
      <c r="E132" s="13" t="str">
        <f>HYPERLINK("https://youtu.be/J_rd8MrEoI4?t=8414","channel 4")</f>
        <v>channel 4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557</v>
      </c>
      <c r="C3" s="12" t="s">
        <v>24</v>
      </c>
      <c r="D3" s="10" t="s">
        <v>559</v>
      </c>
      <c r="E3" s="36" t="str">
        <f>HYPERLINK("https://youtu.be/SOW7xE6bFjA","channel 1")</f>
        <v>channel 1</v>
      </c>
    </row>
    <row r="4">
      <c r="A4" s="7"/>
      <c r="B4" s="10" t="s">
        <v>561</v>
      </c>
      <c r="C4" s="37" t="s">
        <v>452</v>
      </c>
      <c r="D4" s="10" t="s">
        <v>563</v>
      </c>
      <c r="E4" s="13" t="str">
        <f>HYPERLINK("https://youtu.be/u1eaXysdSyA","channel 2")</f>
        <v>channel 2</v>
      </c>
    </row>
    <row r="5">
      <c r="A5" s="7"/>
      <c r="B5" s="10" t="s">
        <v>566</v>
      </c>
      <c r="C5" s="12" t="s">
        <v>193</v>
      </c>
      <c r="D5" s="10" t="s">
        <v>557</v>
      </c>
      <c r="E5" s="36" t="str">
        <f>HYPERLINK("https://youtu.be/SOW7xE6bFjA?t=1044","channel 1")</f>
        <v>channel 1</v>
      </c>
    </row>
    <row r="6">
      <c r="A6" s="7"/>
      <c r="B6" s="10" t="s">
        <v>561</v>
      </c>
      <c r="C6" s="12" t="s">
        <v>56</v>
      </c>
      <c r="D6" s="10" t="s">
        <v>559</v>
      </c>
      <c r="E6" s="13" t="str">
        <f>HYPERLINK("https://youtu.be/u1eaXysdSyA?t=887","channel 2")</f>
        <v>channel 2</v>
      </c>
    </row>
    <row r="7">
      <c r="A7" s="7"/>
      <c r="B7" s="10" t="s">
        <v>566</v>
      </c>
      <c r="C7" s="12" t="s">
        <v>538</v>
      </c>
      <c r="D7" s="10" t="s">
        <v>563</v>
      </c>
      <c r="E7" s="36" t="str">
        <f>HYPERLINK("https://youtu.be/SOW7xE6bFjA?t=2031","channel 1")</f>
        <v>channel 1</v>
      </c>
    </row>
    <row r="8">
      <c r="A8" s="7"/>
      <c r="B8" s="10" t="s">
        <v>561</v>
      </c>
      <c r="C8" s="12" t="s">
        <v>322</v>
      </c>
      <c r="D8" s="10" t="s">
        <v>557</v>
      </c>
      <c r="E8" s="13" t="str">
        <f>HYPERLINK("https://youtu.be/u1eaXysdSyA?t=1862","channel 2")</f>
        <v>channel 2</v>
      </c>
    </row>
    <row r="9">
      <c r="A9" s="7"/>
      <c r="B9" s="10" t="s">
        <v>566</v>
      </c>
      <c r="C9" s="12" t="s">
        <v>18</v>
      </c>
      <c r="D9" s="10" t="s">
        <v>559</v>
      </c>
      <c r="E9" s="36" t="str">
        <f>HYPERLINK("https://youtu.be/SOW7xE6bFjA?t=3036","channel 1")</f>
        <v>channel 1</v>
      </c>
    </row>
    <row r="10">
      <c r="A10" s="7"/>
      <c r="B10" s="10" t="s">
        <v>563</v>
      </c>
      <c r="C10" s="12" t="s">
        <v>477</v>
      </c>
      <c r="D10" s="10" t="s">
        <v>557</v>
      </c>
      <c r="E10" s="13" t="str">
        <f>HYPERLINK("https://youtu.be/u1eaXysdSyA?t=2867","channel 2")</f>
        <v>channel 2</v>
      </c>
    </row>
    <row r="11">
      <c r="A11" s="7"/>
      <c r="B11" s="10" t="s">
        <v>566</v>
      </c>
      <c r="C11" s="12" t="s">
        <v>319</v>
      </c>
      <c r="D11" s="10" t="s">
        <v>561</v>
      </c>
      <c r="E11" s="36" t="str">
        <f>HYPERLINK("https://youtu.be/SOW7xE6bFjA?t=3998","channel 1")</f>
        <v>channel 1</v>
      </c>
    </row>
    <row r="12">
      <c r="A12" s="7"/>
      <c r="B12" s="10" t="s">
        <v>563</v>
      </c>
      <c r="C12" s="12" t="s">
        <v>538</v>
      </c>
      <c r="D12" s="10" t="s">
        <v>559</v>
      </c>
      <c r="E12" s="13" t="str">
        <f>HYPERLINK("https://youtu.be/u1eaXysdSyA?t=3811","channel 2")</f>
        <v>channel 2</v>
      </c>
    </row>
    <row r="13">
      <c r="A13" s="7"/>
      <c r="B13" s="10" t="s">
        <v>559</v>
      </c>
      <c r="C13" s="12" t="s">
        <v>193</v>
      </c>
      <c r="D13" s="10" t="s">
        <v>557</v>
      </c>
      <c r="E13" s="36" t="str">
        <f>HYPERLINK("https://youtu.be/SOW7xE6bFjA?t=4946","channel 1")</f>
        <v>channel 1</v>
      </c>
    </row>
    <row r="14">
      <c r="A14" s="7"/>
      <c r="B14" s="10" t="s">
        <v>563</v>
      </c>
      <c r="C14" s="12" t="s">
        <v>103</v>
      </c>
      <c r="D14" s="10" t="s">
        <v>561</v>
      </c>
      <c r="E14" s="13" t="str">
        <f>HYPERLINK("https://youtu.be/u1eaXysdSyA?t=4776","channel 2")</f>
        <v>channel 2</v>
      </c>
    </row>
    <row r="15">
      <c r="A15" s="7"/>
      <c r="B15" s="10" t="s">
        <v>557</v>
      </c>
      <c r="C15" s="46" t="s">
        <v>84</v>
      </c>
      <c r="D15" s="10" t="s">
        <v>566</v>
      </c>
      <c r="E15" s="36" t="str">
        <f>HYPERLINK("https://youtu.be/SOW7xE6bFjA?t=5874","channel 1")</f>
        <v>channel 1</v>
      </c>
    </row>
    <row r="16">
      <c r="A16" s="7"/>
      <c r="B16" s="10" t="s">
        <v>559</v>
      </c>
      <c r="C16" s="12" t="s">
        <v>49</v>
      </c>
      <c r="D16" s="10" t="s">
        <v>561</v>
      </c>
      <c r="E16" s="13" t="str">
        <f>HYPERLINK("https://youtu.be/u1eaXysdSyA?t=5679","channel 2")</f>
        <v>channel 2</v>
      </c>
    </row>
    <row r="17">
      <c r="A17" s="7"/>
      <c r="B17" s="10" t="s">
        <v>563</v>
      </c>
      <c r="C17" s="12" t="s">
        <v>572</v>
      </c>
      <c r="D17" s="10" t="s">
        <v>566</v>
      </c>
      <c r="E17" s="36" t="str">
        <f>HYPERLINK("https://youtu.be/SOW7xE6bFjA?t=6802","channel 1")</f>
        <v>channel 1</v>
      </c>
    </row>
    <row r="18">
      <c r="A18" s="7"/>
      <c r="B18" s="10" t="s">
        <v>557</v>
      </c>
      <c r="C18" s="12" t="s">
        <v>574</v>
      </c>
      <c r="D18" s="10" t="s">
        <v>561</v>
      </c>
      <c r="E18" s="13" t="str">
        <f>HYPERLINK("https://youtu.be/u1eaXysdSyA?t=6566","channel 2")</f>
        <v>channel 2</v>
      </c>
    </row>
    <row r="19">
      <c r="A19" s="7"/>
      <c r="B19" s="10" t="s">
        <v>559</v>
      </c>
      <c r="C19" s="12" t="s">
        <v>576</v>
      </c>
      <c r="D19" s="10" t="s">
        <v>566</v>
      </c>
      <c r="E19" s="36" t="str">
        <f>HYPERLINK("https://youtu.be/SOW7xE6bFjA?t=7763","channel 1")</f>
        <v>channel 1</v>
      </c>
    </row>
    <row r="20">
      <c r="A20" s="7"/>
      <c r="B20" s="10" t="s">
        <v>557</v>
      </c>
      <c r="C20" s="12" t="s">
        <v>18</v>
      </c>
      <c r="D20" s="10" t="s">
        <v>563</v>
      </c>
      <c r="E20" s="13" t="str">
        <f>HYPERLINK("https://youtu.be/u1eaXysdSyA?t=7520","channel 2")</f>
        <v>channel 2</v>
      </c>
    </row>
    <row r="21">
      <c r="A21" s="7"/>
      <c r="B21" s="10" t="s">
        <v>561</v>
      </c>
      <c r="C21" s="12" t="s">
        <v>237</v>
      </c>
      <c r="D21" s="10" t="s">
        <v>566</v>
      </c>
      <c r="E21" s="36" t="str">
        <f>HYPERLINK("https://youtu.be/SOW7xE6bFjA?t=8639","channel 1")</f>
        <v>channel 1</v>
      </c>
    </row>
    <row r="22">
      <c r="A22" s="7"/>
      <c r="B22" s="10" t="s">
        <v>559</v>
      </c>
      <c r="C22" s="12" t="s">
        <v>99</v>
      </c>
      <c r="D22" s="10" t="s">
        <v>563</v>
      </c>
      <c r="E22" s="13" t="str">
        <f>HYPERLINK("https://youtu.be/u1eaXysdSyA?t=8423","channel 2")</f>
        <v>channel 2</v>
      </c>
    </row>
    <row r="23">
      <c r="A23" s="7"/>
      <c r="B23" s="2" t="s">
        <v>580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583</v>
      </c>
      <c r="C25" s="12" t="s">
        <v>213</v>
      </c>
      <c r="D25" s="10" t="s">
        <v>584</v>
      </c>
      <c r="E25" s="36" t="str">
        <f>HYPERLINK("https://youtu.be/SFsc9p4P4wQ","channel 1")</f>
        <v>channel 1</v>
      </c>
    </row>
    <row r="26">
      <c r="A26" s="7"/>
      <c r="B26" s="10" t="s">
        <v>586</v>
      </c>
      <c r="C26" s="12" t="s">
        <v>77</v>
      </c>
      <c r="D26" s="10" t="s">
        <v>568</v>
      </c>
      <c r="E26" s="13" t="str">
        <f>HYPERLINK("https://youtu.be/oySeKBA8AcM","channel 2")</f>
        <v>channel 2</v>
      </c>
    </row>
    <row r="27">
      <c r="A27" s="7"/>
      <c r="B27" s="10" t="s">
        <v>588</v>
      </c>
      <c r="C27" s="12" t="s">
        <v>108</v>
      </c>
      <c r="D27" s="10" t="s">
        <v>583</v>
      </c>
      <c r="E27" s="36" t="str">
        <f>HYPERLINK("https://youtu.be/SFsc9p4P4wQ?t=979","channel 1")</f>
        <v>channel 1</v>
      </c>
    </row>
    <row r="28">
      <c r="A28" s="7"/>
      <c r="B28" s="10" t="s">
        <v>586</v>
      </c>
      <c r="C28" s="12" t="s">
        <v>277</v>
      </c>
      <c r="D28" s="10" t="s">
        <v>584</v>
      </c>
      <c r="E28" s="13" t="str">
        <f>HYPERLINK("https://youtu.be/oySeKBA8AcM?t=927","channel 2")</f>
        <v>channel 2</v>
      </c>
    </row>
    <row r="29">
      <c r="A29" s="7"/>
      <c r="B29" s="10" t="s">
        <v>588</v>
      </c>
      <c r="C29" s="12" t="s">
        <v>141</v>
      </c>
      <c r="D29" s="10" t="s">
        <v>568</v>
      </c>
      <c r="E29" s="36" t="str">
        <f>HYPERLINK("https://youtu.be/SFsc9p4P4wQ?t=1881","channel 1")</f>
        <v>channel 1</v>
      </c>
    </row>
    <row r="30">
      <c r="A30" s="7"/>
      <c r="B30" s="10" t="s">
        <v>586</v>
      </c>
      <c r="C30" s="12" t="s">
        <v>337</v>
      </c>
      <c r="D30" s="10" t="s">
        <v>583</v>
      </c>
      <c r="E30" s="13" t="str">
        <f>HYPERLINK("https://youtu.be/oySeKBA8AcM?t=1808","channel 2")</f>
        <v>channel 2</v>
      </c>
    </row>
    <row r="31">
      <c r="A31" s="7"/>
      <c r="B31" s="10" t="s">
        <v>588</v>
      </c>
      <c r="C31" s="12" t="s">
        <v>42</v>
      </c>
      <c r="D31" s="10" t="s">
        <v>584</v>
      </c>
      <c r="E31" s="36" t="str">
        <f>HYPERLINK("https://youtu.be/SFsc9p4P4wQ?t=2811","channel 1")</f>
        <v>channel 1</v>
      </c>
    </row>
    <row r="32">
      <c r="A32" s="7"/>
      <c r="B32" s="10" t="s">
        <v>568</v>
      </c>
      <c r="C32" s="12" t="s">
        <v>104</v>
      </c>
      <c r="D32" s="10" t="s">
        <v>583</v>
      </c>
      <c r="E32" s="13" t="str">
        <f>HYPERLINK("https://youtu.be/oySeKBA8AcM?t=2819","channel 2")</f>
        <v>channel 2</v>
      </c>
    </row>
    <row r="33">
      <c r="A33" s="7"/>
      <c r="B33" s="10" t="s">
        <v>588</v>
      </c>
      <c r="C33" s="12" t="s">
        <v>18</v>
      </c>
      <c r="D33" s="10" t="s">
        <v>586</v>
      </c>
      <c r="E33" s="36" t="str">
        <f>HYPERLINK("https://youtu.be/SFsc9p4P4wQ?t=3799","channel 1")</f>
        <v>channel 1</v>
      </c>
    </row>
    <row r="34">
      <c r="A34" s="7"/>
      <c r="B34" s="10" t="s">
        <v>568</v>
      </c>
      <c r="C34" s="12" t="s">
        <v>193</v>
      </c>
      <c r="D34" s="10" t="s">
        <v>584</v>
      </c>
      <c r="E34" s="13" t="str">
        <f>HYPERLINK("https://youtu.be/oySeKBA8AcM?t=3736","channel 2")</f>
        <v>channel 2</v>
      </c>
    </row>
    <row r="35">
      <c r="A35" s="7"/>
      <c r="B35" s="10" t="s">
        <v>584</v>
      </c>
      <c r="C35" s="12" t="s">
        <v>54</v>
      </c>
      <c r="D35" s="10" t="s">
        <v>583</v>
      </c>
      <c r="E35" s="36" t="str">
        <f>HYPERLINK("https://youtu.be/SFsc9p4P4wQ?t=4689","channel 1")</f>
        <v>channel 1</v>
      </c>
    </row>
    <row r="36">
      <c r="A36" s="7"/>
      <c r="B36" s="10" t="s">
        <v>568</v>
      </c>
      <c r="C36" s="12" t="s">
        <v>143</v>
      </c>
      <c r="D36" s="10" t="s">
        <v>586</v>
      </c>
      <c r="E36" s="13" t="str">
        <f>HYPERLINK("https://youtu.be/oySeKBA8AcM?t=4689","channel 2")</f>
        <v>channel 2</v>
      </c>
    </row>
    <row r="37">
      <c r="A37" s="7"/>
      <c r="B37" s="10" t="s">
        <v>583</v>
      </c>
      <c r="C37" s="12" t="s">
        <v>47</v>
      </c>
      <c r="D37" s="10" t="s">
        <v>588</v>
      </c>
      <c r="E37" s="36" t="str">
        <f>HYPERLINK("https://youtu.be/SFsc9p4P4wQ?t=5633","channel 1")</f>
        <v>channel 1</v>
      </c>
    </row>
    <row r="38">
      <c r="A38" s="7"/>
      <c r="B38" s="10" t="s">
        <v>584</v>
      </c>
      <c r="C38" s="12" t="s">
        <v>90</v>
      </c>
      <c r="D38" s="10" t="s">
        <v>586</v>
      </c>
      <c r="E38" s="13" t="str">
        <f>HYPERLINK("https://youtu.be/oySeKBA8AcM?t=5658","channel 2")</f>
        <v>channel 2</v>
      </c>
    </row>
    <row r="39">
      <c r="A39" s="7"/>
      <c r="B39" s="10" t="s">
        <v>568</v>
      </c>
      <c r="C39" s="18" t="s">
        <v>594</v>
      </c>
      <c r="D39" s="10" t="s">
        <v>588</v>
      </c>
      <c r="E39" s="36" t="str">
        <f>HYPERLINK("https://youtu.be/SFsc9p4P4wQ?t=6556","channel 1")</f>
        <v>channel 1</v>
      </c>
    </row>
    <row r="40">
      <c r="A40" s="7"/>
      <c r="B40" s="10" t="s">
        <v>583</v>
      </c>
      <c r="C40" s="12" t="s">
        <v>375</v>
      </c>
      <c r="D40" s="10" t="s">
        <v>586</v>
      </c>
      <c r="E40" s="13" t="str">
        <f>HYPERLINK("https://youtu.be/oySeKBA8AcM?t=6555","channel 2")</f>
        <v>channel 2</v>
      </c>
    </row>
    <row r="41">
      <c r="A41" s="7"/>
      <c r="B41" s="10" t="s">
        <v>584</v>
      </c>
      <c r="C41" s="12" t="s">
        <v>228</v>
      </c>
      <c r="D41" s="10" t="s">
        <v>588</v>
      </c>
      <c r="E41" s="36" t="str">
        <f>HYPERLINK("https://youtu.be/SFsc9p4P4wQ?t=7587","channel 1")</f>
        <v>channel 1</v>
      </c>
    </row>
    <row r="42">
      <c r="A42" s="7"/>
      <c r="B42" s="10" t="s">
        <v>583</v>
      </c>
      <c r="C42" s="12" t="s">
        <v>596</v>
      </c>
      <c r="D42" s="10" t="s">
        <v>568</v>
      </c>
      <c r="E42" s="13" t="str">
        <f>HYPERLINK("https://youtu.be/oySeKBA8AcM?t=7488","channel 2")</f>
        <v>channel 2</v>
      </c>
    </row>
    <row r="43">
      <c r="A43" s="7"/>
      <c r="B43" s="10" t="s">
        <v>586</v>
      </c>
      <c r="C43" s="12" t="s">
        <v>578</v>
      </c>
      <c r="D43" s="10" t="s">
        <v>588</v>
      </c>
      <c r="E43" s="36" t="str">
        <f>HYPERLINK("https://youtu.be/SFsc9p4P4wQ?t=8536","channel 1")</f>
        <v>channel 1</v>
      </c>
    </row>
    <row r="44">
      <c r="A44" s="7"/>
      <c r="B44" s="10" t="s">
        <v>584</v>
      </c>
      <c r="C44" s="12" t="s">
        <v>56</v>
      </c>
      <c r="D44" s="10" t="s">
        <v>568</v>
      </c>
      <c r="E44" s="13" t="str">
        <f>HYPERLINK("https://youtu.be/oySeKBA8AcM?t=8317","channel 2")</f>
        <v>channel 2</v>
      </c>
    </row>
    <row r="45">
      <c r="A45" s="7"/>
      <c r="B45" s="2" t="s">
        <v>377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78</v>
      </c>
      <c r="C47" s="12" t="s">
        <v>111</v>
      </c>
      <c r="D47" s="10" t="s">
        <v>601</v>
      </c>
      <c r="E47" s="36" t="str">
        <f>HYPERLINK("https://youtu.be/SPL3WQHp5CA","channel 1")</f>
        <v>channel 1</v>
      </c>
    </row>
    <row r="48">
      <c r="A48" s="7"/>
      <c r="B48" s="10" t="s">
        <v>603</v>
      </c>
      <c r="C48" s="12" t="s">
        <v>418</v>
      </c>
      <c r="D48" s="10" t="s">
        <v>604</v>
      </c>
      <c r="E48" s="13" t="str">
        <f>HYPERLINK("https://youtu.be/bAGGuUlxQKc","channel 2")</f>
        <v>channel 2</v>
      </c>
    </row>
    <row r="49">
      <c r="A49" s="7"/>
      <c r="B49" s="10" t="s">
        <v>605</v>
      </c>
      <c r="C49" s="12" t="s">
        <v>214</v>
      </c>
      <c r="D49" s="10" t="s">
        <v>78</v>
      </c>
      <c r="E49" s="36" t="str">
        <f>HYPERLINK("https://youtu.be/SPL3WQHp5CA?t=1033","channel 1")</f>
        <v>channel 1</v>
      </c>
    </row>
    <row r="50">
      <c r="A50" s="7"/>
      <c r="B50" s="10" t="s">
        <v>603</v>
      </c>
      <c r="C50" s="12" t="s">
        <v>337</v>
      </c>
      <c r="D50" s="10" t="s">
        <v>601</v>
      </c>
      <c r="E50" s="13" t="str">
        <f>HYPERLINK("https://youtu.be/bAGGuUlxQKc?t=1107","channel 2")</f>
        <v>channel 2</v>
      </c>
    </row>
    <row r="51">
      <c r="A51" s="7"/>
      <c r="B51" s="10" t="s">
        <v>605</v>
      </c>
      <c r="C51" s="12" t="s">
        <v>109</v>
      </c>
      <c r="D51" s="10" t="s">
        <v>604</v>
      </c>
      <c r="E51" s="36" t="str">
        <f>HYPERLINK("https://youtu.be/SPL3WQHp5CA?t=1983","channel 1")</f>
        <v>channel 1</v>
      </c>
    </row>
    <row r="52">
      <c r="A52" s="7"/>
      <c r="B52" s="10" t="s">
        <v>603</v>
      </c>
      <c r="C52" s="12" t="s">
        <v>609</v>
      </c>
      <c r="D52" s="10" t="s">
        <v>78</v>
      </c>
      <c r="E52" s="13" t="str">
        <f>HYPERLINK("https://youtu.be/bAGGuUlxQKc?t=2118","channel 2")</f>
        <v>channel 2</v>
      </c>
    </row>
    <row r="53">
      <c r="A53" s="7"/>
      <c r="B53" s="10" t="s">
        <v>605</v>
      </c>
      <c r="C53" s="12" t="s">
        <v>610</v>
      </c>
      <c r="D53" s="10" t="s">
        <v>601</v>
      </c>
      <c r="E53" s="36" t="str">
        <f>HYPERLINK("https://youtu.be/SPL3WQHp5CA?t=2962","channel 1")</f>
        <v>channel 1</v>
      </c>
    </row>
    <row r="54">
      <c r="A54" s="7"/>
      <c r="B54" s="10" t="s">
        <v>604</v>
      </c>
      <c r="C54" s="12" t="s">
        <v>611</v>
      </c>
      <c r="D54" s="10" t="s">
        <v>78</v>
      </c>
      <c r="E54" s="13" t="str">
        <f>HYPERLINK("https://youtu.be/bAGGuUlxQKc?t=3054","channel 2")</f>
        <v>channel 2</v>
      </c>
    </row>
    <row r="55">
      <c r="A55" s="7"/>
      <c r="B55" s="10" t="s">
        <v>605</v>
      </c>
      <c r="C55" s="12" t="s">
        <v>180</v>
      </c>
      <c r="D55" s="10" t="s">
        <v>603</v>
      </c>
      <c r="E55" s="36" t="str">
        <f>HYPERLINK("https://youtu.be/SPL3WQHp5CA?t=3942","channel 1")</f>
        <v>channel 1</v>
      </c>
    </row>
    <row r="56">
      <c r="A56" s="7"/>
      <c r="B56" s="10" t="s">
        <v>604</v>
      </c>
      <c r="C56" s="12" t="s">
        <v>99</v>
      </c>
      <c r="D56" s="10" t="s">
        <v>601</v>
      </c>
      <c r="E56" s="13" t="str">
        <f>HYPERLINK("https://youtu.be/bAGGuUlxQKc?t=4057","channel 2")</f>
        <v>channel 2</v>
      </c>
    </row>
    <row r="57">
      <c r="A57" s="7"/>
      <c r="B57" s="10" t="s">
        <v>601</v>
      </c>
      <c r="C57" s="12" t="s">
        <v>54</v>
      </c>
      <c r="D57" s="10" t="s">
        <v>78</v>
      </c>
      <c r="E57" s="36" t="str">
        <f>HYPERLINK("https://youtu.be/SPL3WQHp5CA?t=4877","channel 1")</f>
        <v>channel 1</v>
      </c>
    </row>
    <row r="58">
      <c r="A58" s="7"/>
      <c r="B58" s="10" t="s">
        <v>604</v>
      </c>
      <c r="C58" s="12" t="s">
        <v>111</v>
      </c>
      <c r="D58" s="10" t="s">
        <v>603</v>
      </c>
      <c r="E58" s="13" t="str">
        <f>HYPERLINK("https://youtu.be/bAGGuUlxQKc?t=4973","channel 2")</f>
        <v>channel 2</v>
      </c>
    </row>
    <row r="59">
      <c r="A59" s="7"/>
      <c r="B59" s="10" t="s">
        <v>78</v>
      </c>
      <c r="C59" s="12" t="s">
        <v>59</v>
      </c>
      <c r="D59" s="10" t="s">
        <v>605</v>
      </c>
      <c r="E59" s="36" t="str">
        <f>HYPERLINK("https://youtu.be/SPL3WQHp5CA?t=5797","channel 1")</f>
        <v>channel 1</v>
      </c>
    </row>
    <row r="60">
      <c r="A60" s="7"/>
      <c r="B60" s="10" t="s">
        <v>601</v>
      </c>
      <c r="C60" s="12" t="s">
        <v>10</v>
      </c>
      <c r="D60" s="10" t="s">
        <v>603</v>
      </c>
      <c r="E60" s="13" t="str">
        <f>HYPERLINK("https://youtu.be/bAGGuUlxQKc?t=5910","channel 2")</f>
        <v>channel 2</v>
      </c>
    </row>
    <row r="61">
      <c r="A61" s="7"/>
      <c r="B61" s="10" t="s">
        <v>604</v>
      </c>
      <c r="C61" s="12" t="s">
        <v>278</v>
      </c>
      <c r="D61" s="10" t="s">
        <v>605</v>
      </c>
      <c r="E61" s="36" t="str">
        <f>HYPERLINK("https://youtu.be/SPL3WQHp5CA?t=6708","channel 1")</f>
        <v>channel 1</v>
      </c>
    </row>
    <row r="62">
      <c r="A62" s="7"/>
      <c r="B62" s="10" t="s">
        <v>78</v>
      </c>
      <c r="C62" s="18" t="s">
        <v>210</v>
      </c>
      <c r="D62" s="10" t="s">
        <v>603</v>
      </c>
      <c r="E62" s="13" t="str">
        <f>HYPERLINK("https://youtu.be/bAGGuUlxQKc?t=6840","channel 2")</f>
        <v>channel 2</v>
      </c>
    </row>
    <row r="63">
      <c r="A63" s="7"/>
      <c r="B63" s="10" t="s">
        <v>601</v>
      </c>
      <c r="C63" s="12" t="s">
        <v>47</v>
      </c>
      <c r="D63" s="10" t="s">
        <v>605</v>
      </c>
      <c r="E63" s="36" t="str">
        <f>HYPERLINK("https://youtu.be/SPL3WQHp5CA?t=7667","channel 1")</f>
        <v>channel 1</v>
      </c>
    </row>
    <row r="64">
      <c r="A64" s="7"/>
      <c r="B64" s="10" t="s">
        <v>78</v>
      </c>
      <c r="C64" s="12" t="s">
        <v>616</v>
      </c>
      <c r="D64" s="10" t="s">
        <v>604</v>
      </c>
      <c r="E64" s="13" t="str">
        <f>HYPERLINK("https://youtu.be/bAGGuUlxQKc?t=7792","channel 2")</f>
        <v>channel 2</v>
      </c>
    </row>
    <row r="65">
      <c r="A65" s="7"/>
      <c r="B65" s="10" t="s">
        <v>603</v>
      </c>
      <c r="C65" s="12" t="s">
        <v>436</v>
      </c>
      <c r="D65" s="10" t="s">
        <v>605</v>
      </c>
      <c r="E65" s="36" t="str">
        <f>HYPERLINK("https://youtu.be/SPL3WQHp5CA?t=8622","channel 1")</f>
        <v>channel 1</v>
      </c>
    </row>
    <row r="66">
      <c r="A66" s="7"/>
      <c r="B66" s="10" t="s">
        <v>601</v>
      </c>
      <c r="C66" s="12" t="s">
        <v>255</v>
      </c>
      <c r="D66" s="10" t="s">
        <v>604</v>
      </c>
      <c r="E66" s="13" t="str">
        <f>HYPERLINK("https://youtu.be/bAGGuUlxQKc?t=8723","channel 2")</f>
        <v>channel 2</v>
      </c>
    </row>
    <row r="67">
      <c r="A67" s="7"/>
      <c r="B67" s="42" t="s">
        <v>229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617</v>
      </c>
      <c r="C69" s="12" t="s">
        <v>180</v>
      </c>
      <c r="D69" s="10" t="s">
        <v>618</v>
      </c>
      <c r="E69" s="36" t="str">
        <f>HYPERLINK("https://youtu.be/nmZi5nEl_7E","channel 1")</f>
        <v>channel 1</v>
      </c>
    </row>
    <row r="70">
      <c r="A70" s="7"/>
      <c r="B70" s="10" t="s">
        <v>619</v>
      </c>
      <c r="C70" s="12" t="s">
        <v>361</v>
      </c>
      <c r="D70" s="10" t="s">
        <v>620</v>
      </c>
      <c r="E70" s="13" t="str">
        <f>HYPERLINK("https://youtu.be/KRRmDWg71iI","channel 2")</f>
        <v>channel 2</v>
      </c>
    </row>
    <row r="71">
      <c r="A71" s="7"/>
      <c r="B71" s="10" t="s">
        <v>626</v>
      </c>
      <c r="C71" s="12" t="s">
        <v>104</v>
      </c>
      <c r="D71" s="10" t="s">
        <v>617</v>
      </c>
      <c r="E71" s="50" t="s">
        <v>26</v>
      </c>
    </row>
    <row r="72">
      <c r="A72" s="7"/>
      <c r="B72" s="10" t="s">
        <v>619</v>
      </c>
      <c r="C72" s="12" t="s">
        <v>143</v>
      </c>
      <c r="D72" s="10" t="s">
        <v>618</v>
      </c>
      <c r="E72" s="13" t="str">
        <f>HYPERLINK("https://youtu.be/KRRmDWg71iI?t=1165","channel 2")</f>
        <v>channel 2</v>
      </c>
    </row>
    <row r="73">
      <c r="A73" s="7"/>
      <c r="B73" s="10" t="s">
        <v>626</v>
      </c>
      <c r="C73" s="12" t="s">
        <v>108</v>
      </c>
      <c r="D73" s="10" t="s">
        <v>620</v>
      </c>
      <c r="E73" s="50" t="s">
        <v>26</v>
      </c>
    </row>
    <row r="74">
      <c r="A74" s="7"/>
      <c r="B74" s="10" t="s">
        <v>619</v>
      </c>
      <c r="C74" s="12" t="s">
        <v>629</v>
      </c>
      <c r="D74" s="10" t="s">
        <v>617</v>
      </c>
      <c r="E74" s="13" t="str">
        <f>HYPERLINK("https://youtu.be/KRRmDWg71iI?t=2134","channel 2")</f>
        <v>channel 2</v>
      </c>
    </row>
    <row r="75">
      <c r="A75" s="7"/>
      <c r="B75" s="10" t="s">
        <v>626</v>
      </c>
      <c r="C75" s="12" t="s">
        <v>90</v>
      </c>
      <c r="D75" s="10" t="s">
        <v>618</v>
      </c>
      <c r="E75" s="50" t="s">
        <v>26</v>
      </c>
    </row>
    <row r="76">
      <c r="A76" s="7"/>
      <c r="B76" s="10" t="s">
        <v>620</v>
      </c>
      <c r="C76" s="12" t="s">
        <v>34</v>
      </c>
      <c r="D76" s="10" t="s">
        <v>617</v>
      </c>
      <c r="E76" s="13" t="str">
        <f>HYPERLINK("https://youtu.be/KRRmDWg71iI?t=3152","channel 2")</f>
        <v>channel 2</v>
      </c>
    </row>
    <row r="77">
      <c r="A77" s="7"/>
      <c r="B77" s="10" t="s">
        <v>626</v>
      </c>
      <c r="C77" s="12" t="s">
        <v>10</v>
      </c>
      <c r="D77" s="10" t="s">
        <v>619</v>
      </c>
      <c r="E77" s="50" t="s">
        <v>26</v>
      </c>
    </row>
    <row r="78">
      <c r="A78" s="7"/>
      <c r="B78" s="10" t="s">
        <v>620</v>
      </c>
      <c r="C78" s="12" t="s">
        <v>46</v>
      </c>
      <c r="D78" s="10" t="s">
        <v>618</v>
      </c>
      <c r="E78" s="13" t="str">
        <f>HYPERLINK("https://youtu.be/KRRmDWg71iI?t=4265","channel 2")</f>
        <v>channel 2</v>
      </c>
    </row>
    <row r="79">
      <c r="A79" s="7"/>
      <c r="B79" s="10" t="s">
        <v>618</v>
      </c>
      <c r="C79" s="12" t="s">
        <v>59</v>
      </c>
      <c r="D79" s="10" t="s">
        <v>617</v>
      </c>
      <c r="E79" s="50" t="s">
        <v>26</v>
      </c>
    </row>
    <row r="80">
      <c r="A80" s="7"/>
      <c r="B80" s="10" t="s">
        <v>620</v>
      </c>
      <c r="C80" s="12" t="s">
        <v>10</v>
      </c>
      <c r="D80" s="10" t="s">
        <v>619</v>
      </c>
      <c r="E80" s="13" t="str">
        <f>HYPERLINK("https://youtu.be/KRRmDWg71iI?t=5159","channel 2")</f>
        <v>channel 2</v>
      </c>
    </row>
    <row r="81">
      <c r="A81" s="7"/>
      <c r="B81" s="10" t="s">
        <v>617</v>
      </c>
      <c r="C81" s="12" t="s">
        <v>103</v>
      </c>
      <c r="D81" s="10" t="s">
        <v>626</v>
      </c>
      <c r="E81" s="50" t="s">
        <v>26</v>
      </c>
    </row>
    <row r="82">
      <c r="A82" s="7"/>
      <c r="B82" s="10" t="s">
        <v>618</v>
      </c>
      <c r="C82" s="12" t="s">
        <v>90</v>
      </c>
      <c r="D82" s="10" t="s">
        <v>619</v>
      </c>
      <c r="E82" s="13" t="str">
        <f>HYPERLINK("https://youtu.be/KRRmDWg71iI?t=6074","channel 2")</f>
        <v>channel 2</v>
      </c>
    </row>
    <row r="83">
      <c r="A83" s="7"/>
      <c r="B83" s="10" t="s">
        <v>620</v>
      </c>
      <c r="C83" s="12" t="s">
        <v>255</v>
      </c>
      <c r="D83" s="10" t="s">
        <v>626</v>
      </c>
      <c r="E83" s="50" t="s">
        <v>26</v>
      </c>
    </row>
    <row r="84">
      <c r="A84" s="7"/>
      <c r="B84" s="10" t="s">
        <v>617</v>
      </c>
      <c r="C84" s="12" t="s">
        <v>228</v>
      </c>
      <c r="D84" s="10" t="s">
        <v>619</v>
      </c>
      <c r="E84" s="13" t="str">
        <f>HYPERLINK("https://youtu.be/KRRmDWg71iI?t=7085","channel 2")</f>
        <v>channel 2</v>
      </c>
    </row>
    <row r="85">
      <c r="A85" s="7"/>
      <c r="B85" s="10" t="s">
        <v>618</v>
      </c>
      <c r="C85" s="12" t="s">
        <v>631</v>
      </c>
      <c r="D85" s="10" t="s">
        <v>626</v>
      </c>
      <c r="E85" s="50" t="s">
        <v>26</v>
      </c>
    </row>
    <row r="86">
      <c r="A86" s="7"/>
      <c r="B86" s="10" t="s">
        <v>617</v>
      </c>
      <c r="C86" s="12" t="s">
        <v>38</v>
      </c>
      <c r="D86" s="10" t="s">
        <v>620</v>
      </c>
      <c r="E86" s="13" t="str">
        <f>HYPERLINK("https://youtu.be/KRRmDWg71iI?t=7948","channel 2")</f>
        <v>channel 2</v>
      </c>
    </row>
    <row r="87">
      <c r="A87" s="7"/>
      <c r="B87" s="10" t="s">
        <v>619</v>
      </c>
      <c r="C87" s="12" t="s">
        <v>393</v>
      </c>
      <c r="D87" s="10" t="s">
        <v>626</v>
      </c>
      <c r="E87" s="50" t="s">
        <v>26</v>
      </c>
    </row>
    <row r="88">
      <c r="A88" s="7"/>
      <c r="B88" s="10" t="s">
        <v>618</v>
      </c>
      <c r="C88" s="12" t="s">
        <v>46</v>
      </c>
      <c r="D88" s="10" t="s">
        <v>620</v>
      </c>
      <c r="E88" s="13" t="str">
        <f>HYPERLINK("https://youtu.be/KRRmDWg71iI?t=8949","channel 2")</f>
        <v>channel 2</v>
      </c>
    </row>
    <row r="89">
      <c r="A89" s="7"/>
      <c r="B89" s="2" t="s">
        <v>287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634</v>
      </c>
      <c r="C91" s="12" t="s">
        <v>322</v>
      </c>
      <c r="D91" s="10" t="s">
        <v>635</v>
      </c>
      <c r="E91" s="36" t="str">
        <f>HYPERLINK("https://youtu.be/Lf21egzRqtc","channel 1")</f>
        <v>channel 1</v>
      </c>
    </row>
    <row r="92">
      <c r="A92" s="7"/>
      <c r="B92" s="10" t="s">
        <v>637</v>
      </c>
      <c r="C92" s="12" t="s">
        <v>124</v>
      </c>
      <c r="D92" s="10" t="s">
        <v>639</v>
      </c>
      <c r="E92" s="13" t="str">
        <f>HYPERLINK("https://youtu.be/EygD66W9e-E","channel 2")</f>
        <v>channel 2</v>
      </c>
    </row>
    <row r="93">
      <c r="A93" s="7"/>
      <c r="B93" s="10" t="s">
        <v>640</v>
      </c>
      <c r="C93" s="12" t="s">
        <v>180</v>
      </c>
      <c r="D93" s="10" t="s">
        <v>634</v>
      </c>
      <c r="E93" s="36" t="str">
        <f>HYPERLINK("https://youtu.be/Lf21egzRqtc?t=1007","channel 1")</f>
        <v>channel 1</v>
      </c>
    </row>
    <row r="94">
      <c r="A94" s="7"/>
      <c r="B94" s="10" t="s">
        <v>637</v>
      </c>
      <c r="C94" s="12" t="s">
        <v>49</v>
      </c>
      <c r="D94" s="10" t="s">
        <v>635</v>
      </c>
      <c r="E94" s="13" t="str">
        <f>HYPERLINK("https://youtu.be/EygD66W9e-E?t=1103","channel 2")</f>
        <v>channel 2</v>
      </c>
    </row>
    <row r="95">
      <c r="A95" s="7"/>
      <c r="B95" s="10" t="s">
        <v>640</v>
      </c>
      <c r="C95" s="46" t="s">
        <v>34</v>
      </c>
      <c r="D95" s="10" t="s">
        <v>639</v>
      </c>
      <c r="E95" s="36" t="str">
        <f>HYPERLINK("https://youtu.be/Lf21egzRqtc?t=1977","channel 1")</f>
        <v>channel 1</v>
      </c>
    </row>
    <row r="96">
      <c r="A96" s="7"/>
      <c r="B96" s="10" t="s">
        <v>637</v>
      </c>
      <c r="C96" s="12" t="s">
        <v>210</v>
      </c>
      <c r="D96" s="10" t="s">
        <v>634</v>
      </c>
      <c r="E96" s="13" t="str">
        <f>HYPERLINK("https://youtu.be/EygD66W9e-E?t=2069","channel 2")</f>
        <v>channel 2</v>
      </c>
    </row>
    <row r="97">
      <c r="A97" s="7"/>
      <c r="B97" s="10" t="s">
        <v>640</v>
      </c>
      <c r="C97" s="12" t="s">
        <v>522</v>
      </c>
      <c r="D97" s="10" t="s">
        <v>635</v>
      </c>
      <c r="E97" s="36" t="str">
        <f>HYPERLINK("https://youtu.be/Lf21egzRqtc?t=2953","channel 1")</f>
        <v>channel 1</v>
      </c>
    </row>
    <row r="98">
      <c r="A98" s="7"/>
      <c r="B98" s="10" t="s">
        <v>639</v>
      </c>
      <c r="C98" s="12" t="s">
        <v>319</v>
      </c>
      <c r="D98" s="10" t="s">
        <v>634</v>
      </c>
      <c r="E98" s="13" t="str">
        <f>HYPERLINK("https://youtu.be/EygD66W9e-E?t=2966","channel 2")</f>
        <v>channel 2</v>
      </c>
    </row>
    <row r="99">
      <c r="A99" s="7"/>
      <c r="B99" s="10" t="s">
        <v>640</v>
      </c>
      <c r="C99" s="12" t="s">
        <v>30</v>
      </c>
      <c r="D99" s="10" t="s">
        <v>637</v>
      </c>
      <c r="E99" s="36" t="str">
        <f>HYPERLINK("https://youtu.be/Lf21egzRqtc?t=3906","channel 1")</f>
        <v>channel 1</v>
      </c>
    </row>
    <row r="100">
      <c r="A100" s="7"/>
      <c r="B100" s="10" t="s">
        <v>639</v>
      </c>
      <c r="C100" s="12" t="s">
        <v>194</v>
      </c>
      <c r="D100" s="10" t="s">
        <v>635</v>
      </c>
      <c r="E100" s="13" t="str">
        <f>HYPERLINK("https://youtu.be/EygD66W9e-E?t=4038","channel 2")</f>
        <v>channel 2</v>
      </c>
    </row>
    <row r="101">
      <c r="A101" s="7"/>
      <c r="B101" s="10" t="s">
        <v>635</v>
      </c>
      <c r="C101" s="12" t="s">
        <v>49</v>
      </c>
      <c r="D101" s="10" t="s">
        <v>634</v>
      </c>
      <c r="E101" s="36" t="str">
        <f>HYPERLINK("https://youtu.be/Lf21egzRqtc?t=4860","channel 1")</f>
        <v>channel 1</v>
      </c>
    </row>
    <row r="102">
      <c r="A102" s="7"/>
      <c r="B102" s="10" t="s">
        <v>639</v>
      </c>
      <c r="C102" s="12" t="s">
        <v>414</v>
      </c>
      <c r="D102" s="10" t="s">
        <v>637</v>
      </c>
      <c r="E102" s="13" t="str">
        <f>HYPERLINK("https://youtu.be/EygD66W9e-E?t=4038","channel 2")</f>
        <v>channel 2</v>
      </c>
    </row>
    <row r="103">
      <c r="A103" s="7"/>
      <c r="B103" s="10" t="s">
        <v>634</v>
      </c>
      <c r="C103" s="12" t="s">
        <v>103</v>
      </c>
      <c r="D103" s="10" t="s">
        <v>640</v>
      </c>
      <c r="E103" s="36" t="str">
        <f>HYPERLINK("https://youtu.be/Lf21egzRqtc?t=5813","channel 1")</f>
        <v>channel 1</v>
      </c>
    </row>
    <row r="104">
      <c r="A104" s="7"/>
      <c r="B104" s="10" t="s">
        <v>635</v>
      </c>
      <c r="C104" s="12" t="s">
        <v>460</v>
      </c>
      <c r="D104" s="10" t="s">
        <v>637</v>
      </c>
      <c r="E104" s="13" t="str">
        <f>HYPERLINK("https://youtu.be/EygD66W9e-E?t=5930","channel 2")</f>
        <v>channel 2</v>
      </c>
    </row>
    <row r="105">
      <c r="A105" s="7"/>
      <c r="B105" s="10" t="s">
        <v>639</v>
      </c>
      <c r="C105" s="12" t="s">
        <v>460</v>
      </c>
      <c r="D105" s="10" t="s">
        <v>640</v>
      </c>
      <c r="E105" s="36" t="str">
        <f>HYPERLINK("https://youtu.be/Lf21egzRqtc?t=6766","channel 1")</f>
        <v>channel 1</v>
      </c>
    </row>
    <row r="106">
      <c r="A106" s="7"/>
      <c r="B106" s="10" t="s">
        <v>634</v>
      </c>
      <c r="C106" s="12" t="s">
        <v>97</v>
      </c>
      <c r="D106" s="10" t="s">
        <v>637</v>
      </c>
      <c r="E106" s="13" t="str">
        <f>HYPERLINK("https://youtu.be/EygD66W9e-E?t=6917","channel 2")</f>
        <v>channel 2</v>
      </c>
    </row>
    <row r="107">
      <c r="A107" s="7"/>
      <c r="B107" s="10" t="s">
        <v>635</v>
      </c>
      <c r="C107" s="12" t="s">
        <v>646</v>
      </c>
      <c r="D107" s="10" t="s">
        <v>640</v>
      </c>
      <c r="E107" s="36" t="str">
        <f>HYPERLINK("https://youtu.be/Lf21egzRqtc?t=7719","channel 1")</f>
        <v>channel 1</v>
      </c>
    </row>
    <row r="108">
      <c r="A108" s="7"/>
      <c r="B108" s="10" t="s">
        <v>634</v>
      </c>
      <c r="C108" s="12" t="s">
        <v>347</v>
      </c>
      <c r="D108" s="10" t="s">
        <v>639</v>
      </c>
      <c r="E108" s="13" t="str">
        <f>HYPERLINK("https://youtu.be/EygD66W9e-E?t=7841","channel 2")</f>
        <v>channel 2</v>
      </c>
    </row>
    <row r="109">
      <c r="A109" s="7"/>
      <c r="B109" s="10" t="s">
        <v>637</v>
      </c>
      <c r="C109" s="12" t="s">
        <v>10</v>
      </c>
      <c r="D109" s="10" t="s">
        <v>640</v>
      </c>
      <c r="E109" s="36" t="str">
        <f>HYPERLINK("https://youtu.be/Lf21egzRqtc?t=8708","channel 1")</f>
        <v>channel 1</v>
      </c>
    </row>
    <row r="110">
      <c r="A110" s="7"/>
      <c r="B110" s="10" t="s">
        <v>635</v>
      </c>
      <c r="C110" s="12" t="s">
        <v>20</v>
      </c>
      <c r="D110" s="10" t="s">
        <v>639</v>
      </c>
      <c r="E110" s="13" t="str">
        <f>HYPERLINK("https://youtu.be/EygD66W9e-E?t=8719","channel 2")</f>
        <v>channel 2</v>
      </c>
    </row>
    <row r="111">
      <c r="A111" s="7"/>
      <c r="B111" s="2" t="s">
        <v>648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47" t="s">
        <v>650</v>
      </c>
      <c r="C113" s="12" t="s">
        <v>46</v>
      </c>
      <c r="D113" s="10" t="s">
        <v>356</v>
      </c>
      <c r="E113" s="36" t="str">
        <f>HYPERLINK("https://youtu.be/FMUwsbUIDLc","channel 1")</f>
        <v>channel 1</v>
      </c>
    </row>
    <row r="114">
      <c r="A114" s="7"/>
      <c r="B114" s="10" t="s">
        <v>652</v>
      </c>
      <c r="C114" s="12" t="s">
        <v>124</v>
      </c>
      <c r="D114" s="10" t="s">
        <v>653</v>
      </c>
      <c r="E114" s="13" t="str">
        <f>HYPERLINK("https://youtu.be/OJwaZ3fkl8Q","channel 2")</f>
        <v>channel 2</v>
      </c>
    </row>
    <row r="115">
      <c r="A115" s="7"/>
      <c r="B115" s="10" t="s">
        <v>654</v>
      </c>
      <c r="C115" s="12" t="s">
        <v>180</v>
      </c>
      <c r="D115" s="10" t="s">
        <v>650</v>
      </c>
      <c r="E115" s="36" t="str">
        <f>HYPERLINK("https://youtu.be/FMUwsbUIDLc?t=967","channel 1")</f>
        <v>channel 1</v>
      </c>
    </row>
    <row r="116">
      <c r="A116" s="7"/>
      <c r="B116" s="10" t="s">
        <v>652</v>
      </c>
      <c r="C116" s="12" t="s">
        <v>658</v>
      </c>
      <c r="D116" s="10" t="s">
        <v>356</v>
      </c>
      <c r="E116" s="13" t="str">
        <f>HYPERLINK("https://youtu.be/OJwaZ3fkl8Q?t=1062","channel 2")</f>
        <v>channel 2</v>
      </c>
    </row>
    <row r="117">
      <c r="A117" s="7"/>
      <c r="B117" s="10" t="s">
        <v>654</v>
      </c>
      <c r="C117" s="12" t="s">
        <v>10</v>
      </c>
      <c r="D117" s="10" t="s">
        <v>653</v>
      </c>
      <c r="E117" s="36" t="str">
        <f>HYPERLINK("https://youtu.be/FMUwsbUIDLc?t=1901","channel 1")</f>
        <v>channel 1</v>
      </c>
    </row>
    <row r="118">
      <c r="A118" s="7"/>
      <c r="B118" s="10" t="s">
        <v>652</v>
      </c>
      <c r="C118" s="12" t="s">
        <v>124</v>
      </c>
      <c r="D118" s="10" t="s">
        <v>650</v>
      </c>
      <c r="E118" s="13" t="str">
        <f>HYPERLINK("https://youtu.be/OJwaZ3fkl8Q?t=2036","channel 2")</f>
        <v>channel 2</v>
      </c>
    </row>
    <row r="119">
      <c r="A119" s="7"/>
      <c r="B119" s="10" t="s">
        <v>654</v>
      </c>
      <c r="C119" s="12" t="s">
        <v>24</v>
      </c>
      <c r="D119" s="10" t="s">
        <v>356</v>
      </c>
      <c r="E119" s="36" t="str">
        <f>HYPERLINK("https://youtu.be/FMUwsbUIDLc?t=2804","channel 1")</f>
        <v>channel 1</v>
      </c>
    </row>
    <row r="120">
      <c r="A120" s="7"/>
      <c r="B120" s="10" t="s">
        <v>653</v>
      </c>
      <c r="C120" s="12" t="s">
        <v>577</v>
      </c>
      <c r="D120" s="10" t="s">
        <v>650</v>
      </c>
      <c r="E120" s="13" t="str">
        <f>HYPERLINK("https://youtu.be/OJwaZ3fkl8Q?t=2927","channel 2")</f>
        <v>channel 2</v>
      </c>
    </row>
    <row r="121">
      <c r="A121" s="7"/>
      <c r="B121" s="10" t="s">
        <v>654</v>
      </c>
      <c r="C121" s="12" t="s">
        <v>145</v>
      </c>
      <c r="D121" s="10" t="s">
        <v>652</v>
      </c>
      <c r="E121" s="36" t="str">
        <f>HYPERLINK("https://youtu.be/FMUwsbUIDLc?t=3725","channel 1")</f>
        <v>channel 1</v>
      </c>
    </row>
    <row r="122">
      <c r="A122" s="7"/>
      <c r="B122" s="10" t="s">
        <v>653</v>
      </c>
      <c r="C122" s="12" t="s">
        <v>255</v>
      </c>
      <c r="D122" s="10" t="s">
        <v>356</v>
      </c>
      <c r="E122" s="13" t="str">
        <f>HYPERLINK("https://youtu.be/OJwaZ3fkl8Q?t=3887","channel 2")</f>
        <v>channel 2</v>
      </c>
    </row>
    <row r="123">
      <c r="A123" s="7"/>
      <c r="B123" s="10" t="s">
        <v>356</v>
      </c>
      <c r="C123" s="12" t="s">
        <v>214</v>
      </c>
      <c r="D123" s="10" t="s">
        <v>650</v>
      </c>
      <c r="E123" s="36" t="str">
        <f>HYPERLINK("https://youtu.be/FMUwsbUIDLc?t=4643","channel 1")</f>
        <v>channel 1</v>
      </c>
    </row>
    <row r="124">
      <c r="A124" s="7"/>
      <c r="B124" s="10" t="s">
        <v>653</v>
      </c>
      <c r="C124" s="12" t="s">
        <v>55</v>
      </c>
      <c r="D124" s="10" t="s">
        <v>652</v>
      </c>
      <c r="E124" s="13" t="str">
        <f>HYPERLINK("https://youtu.be/OJwaZ3fkl8Q?t=4770","channel 2")</f>
        <v>channel 2</v>
      </c>
    </row>
    <row r="125">
      <c r="A125" s="7"/>
      <c r="B125" s="10" t="s">
        <v>650</v>
      </c>
      <c r="C125" s="12" t="s">
        <v>226</v>
      </c>
      <c r="D125" s="10" t="s">
        <v>654</v>
      </c>
      <c r="E125" s="36" t="str">
        <f>HYPERLINK("https://youtu.be/FMUwsbUIDLc?t=5552","channel 1")</f>
        <v>channel 1</v>
      </c>
    </row>
    <row r="126">
      <c r="A126" s="7"/>
      <c r="B126" s="10" t="s">
        <v>356</v>
      </c>
      <c r="C126" s="12" t="s">
        <v>296</v>
      </c>
      <c r="D126" s="10" t="s">
        <v>652</v>
      </c>
      <c r="E126" s="13" t="str">
        <f>HYPERLINK("https://youtu.be/OJwaZ3fkl8Q?t=5671","channel 2")</f>
        <v>channel 2</v>
      </c>
    </row>
    <row r="127">
      <c r="A127" s="7"/>
      <c r="B127" s="10" t="s">
        <v>653</v>
      </c>
      <c r="C127" s="12" t="s">
        <v>223</v>
      </c>
      <c r="D127" s="10" t="s">
        <v>654</v>
      </c>
      <c r="E127" s="36" t="str">
        <f>HYPERLINK("https://youtu.be/FMUwsbUIDLc?t=6493","channel 1")</f>
        <v>channel 1</v>
      </c>
    </row>
    <row r="128">
      <c r="A128" s="7"/>
      <c r="B128" s="10" t="s">
        <v>650</v>
      </c>
      <c r="C128" s="12" t="s">
        <v>405</v>
      </c>
      <c r="D128" s="10" t="s">
        <v>652</v>
      </c>
      <c r="E128" s="13" t="str">
        <f>HYPERLINK("https://youtu.be/OJwaZ3fkl8Q?t=6567","channel 2")</f>
        <v>channel 2</v>
      </c>
    </row>
    <row r="129">
      <c r="A129" s="7"/>
      <c r="B129" s="10" t="s">
        <v>356</v>
      </c>
      <c r="C129" s="12" t="s">
        <v>97</v>
      </c>
      <c r="D129" s="10" t="s">
        <v>654</v>
      </c>
      <c r="E129" s="36" t="str">
        <f>HYPERLINK("https://youtu.be/FMUwsbUIDLc?t=7461","channel 1")</f>
        <v>channel 1</v>
      </c>
    </row>
    <row r="130">
      <c r="A130" s="7"/>
      <c r="B130" s="10" t="s">
        <v>650</v>
      </c>
      <c r="C130" s="12" t="s">
        <v>24</v>
      </c>
      <c r="D130" s="10" t="s">
        <v>653</v>
      </c>
      <c r="E130" s="13" t="str">
        <f>HYPERLINK("https://youtu.be/OJwaZ3fkl8Q?t=7518","channel 2")</f>
        <v>channel 2</v>
      </c>
    </row>
    <row r="131">
      <c r="A131" s="7"/>
      <c r="B131" s="10" t="s">
        <v>652</v>
      </c>
      <c r="C131" s="12" t="s">
        <v>99</v>
      </c>
      <c r="D131" s="10" t="s">
        <v>654</v>
      </c>
      <c r="E131" s="36" t="str">
        <f>HYPERLINK("https://youtu.be/FMUwsbUIDLc?t=8320","channel 1")</f>
        <v>channel 1</v>
      </c>
    </row>
    <row r="132">
      <c r="A132" s="25"/>
      <c r="B132" s="10" t="s">
        <v>356</v>
      </c>
      <c r="C132" s="12" t="s">
        <v>278</v>
      </c>
      <c r="D132" s="10" t="s">
        <v>653</v>
      </c>
      <c r="E132" s="13" t="str">
        <f>HYPERLINK("https://youtu.be/OJwaZ3fkl8Q?t=8476","channel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558</v>
      </c>
      <c r="C3" s="12" t="s">
        <v>145</v>
      </c>
      <c r="D3" s="10" t="s">
        <v>560</v>
      </c>
      <c r="E3" s="36" t="str">
        <f>HYPERLINK("https://youtu.be/fW5dlztlfcY","channel 1")</f>
        <v>channel 1</v>
      </c>
    </row>
    <row r="4">
      <c r="A4" s="7"/>
      <c r="B4" s="10" t="s">
        <v>562</v>
      </c>
      <c r="C4" s="37" t="s">
        <v>85</v>
      </c>
      <c r="D4" s="10" t="s">
        <v>564</v>
      </c>
      <c r="E4" s="13" t="str">
        <f>HYPERLINK("https://youtu.be/u7yhYTSoYjg","channel 2")</f>
        <v>channel 2</v>
      </c>
    </row>
    <row r="5">
      <c r="A5" s="7"/>
      <c r="B5" s="10" t="s">
        <v>25</v>
      </c>
      <c r="C5" s="12" t="s">
        <v>138</v>
      </c>
      <c r="D5" s="10" t="s">
        <v>558</v>
      </c>
      <c r="E5" s="36" t="str">
        <f>HYPERLINK("https://youtu.be/fW5dlztlfcY?t=816","channel 1")</f>
        <v>channel 1</v>
      </c>
    </row>
    <row r="6">
      <c r="A6" s="7"/>
      <c r="B6" s="10" t="s">
        <v>562</v>
      </c>
      <c r="C6" s="12" t="s">
        <v>38</v>
      </c>
      <c r="D6" s="10" t="s">
        <v>560</v>
      </c>
      <c r="E6" s="13" t="str">
        <f>HYPERLINK("https://youtu.be/u7yhYTSoYjg?t=978","channel 2")</f>
        <v>channel 2</v>
      </c>
    </row>
    <row r="7">
      <c r="A7" s="7"/>
      <c r="B7" s="10" t="s">
        <v>25</v>
      </c>
      <c r="C7" s="12" t="s">
        <v>59</v>
      </c>
      <c r="D7" s="10" t="s">
        <v>564</v>
      </c>
      <c r="E7" s="36" t="str">
        <f>HYPERLINK("https://youtu.be/fW5dlztlfcY?t=1855","channel 1")</f>
        <v>channel 1</v>
      </c>
    </row>
    <row r="8">
      <c r="A8" s="7"/>
      <c r="B8" s="10" t="s">
        <v>562</v>
      </c>
      <c r="C8" s="12" t="s">
        <v>42</v>
      </c>
      <c r="D8" s="10" t="s">
        <v>558</v>
      </c>
      <c r="E8" s="13" t="str">
        <f>HYPERLINK("https://youtu.be/u7yhYTSoYjg?t=1952","channel 2")</f>
        <v>channel 2</v>
      </c>
    </row>
    <row r="9">
      <c r="A9" s="7"/>
      <c r="B9" s="10" t="s">
        <v>25</v>
      </c>
      <c r="C9" s="12" t="s">
        <v>34</v>
      </c>
      <c r="D9" s="10" t="s">
        <v>560</v>
      </c>
      <c r="E9" s="36" t="str">
        <f>HYPERLINK("https://youtu.be/fW5dlztlfcY?t=2851","channel 1")</f>
        <v>channel 1</v>
      </c>
    </row>
    <row r="10">
      <c r="A10" s="7"/>
      <c r="B10" s="10" t="s">
        <v>564</v>
      </c>
      <c r="C10" s="12" t="s">
        <v>160</v>
      </c>
      <c r="D10" s="10" t="s">
        <v>558</v>
      </c>
      <c r="E10" s="13" t="str">
        <f>HYPERLINK("https://youtu.be/u7yhYTSoYjg?t=2904","channel 2")</f>
        <v>channel 2</v>
      </c>
    </row>
    <row r="11">
      <c r="A11" s="7"/>
      <c r="B11" s="10" t="s">
        <v>25</v>
      </c>
      <c r="C11" s="12" t="s">
        <v>108</v>
      </c>
      <c r="D11" s="10" t="s">
        <v>562</v>
      </c>
      <c r="E11" s="36" t="str">
        <f>HYPERLINK("https://youtu.be/fW5dlztlfcY?t=3769","channel 1")</f>
        <v>channel 1</v>
      </c>
    </row>
    <row r="12">
      <c r="A12" s="7"/>
      <c r="B12" s="10" t="s">
        <v>564</v>
      </c>
      <c r="C12" s="12" t="s">
        <v>223</v>
      </c>
      <c r="D12" s="10" t="s">
        <v>560</v>
      </c>
      <c r="E12" s="13" t="str">
        <f>HYPERLINK("https://youtu.be/u7yhYTSoYjg?t=3875","channel 2")</f>
        <v>channel 2</v>
      </c>
    </row>
    <row r="13">
      <c r="A13" s="7"/>
      <c r="B13" s="10" t="s">
        <v>560</v>
      </c>
      <c r="C13" s="12" t="s">
        <v>285</v>
      </c>
      <c r="D13" s="10" t="s">
        <v>558</v>
      </c>
      <c r="E13" s="36" t="str">
        <f>HYPERLINK("https://youtu.be/fW5dlztlfcY?t=4773","channel 1")</f>
        <v>channel 1</v>
      </c>
    </row>
    <row r="14">
      <c r="A14" s="7"/>
      <c r="B14" s="10" t="s">
        <v>564</v>
      </c>
      <c r="C14" s="12" t="s">
        <v>80</v>
      </c>
      <c r="D14" s="10" t="s">
        <v>562</v>
      </c>
      <c r="E14" s="13" t="str">
        <f>HYPERLINK("https://youtu.be/u7yhYTSoYjg?t=4803","channel 2")</f>
        <v>channel 2</v>
      </c>
    </row>
    <row r="15">
      <c r="A15" s="7"/>
      <c r="B15" s="10" t="s">
        <v>558</v>
      </c>
      <c r="C15" s="12" t="s">
        <v>109</v>
      </c>
      <c r="D15" s="10" t="s">
        <v>25</v>
      </c>
      <c r="E15" s="36" t="str">
        <f>HYPERLINK("https://youtu.be/fW5dlztlfcY?t=5692","channel 1")</f>
        <v>channel 1</v>
      </c>
    </row>
    <row r="16">
      <c r="A16" s="7"/>
      <c r="B16" s="10" t="s">
        <v>560</v>
      </c>
      <c r="C16" s="12" t="s">
        <v>37</v>
      </c>
      <c r="D16" s="10" t="s">
        <v>562</v>
      </c>
      <c r="E16" s="13" t="str">
        <f>HYPERLINK("https://youtu.be/u7yhYTSoYjg?t=5804","channel 2")</f>
        <v>channel 2</v>
      </c>
    </row>
    <row r="17">
      <c r="A17" s="7"/>
      <c r="B17" s="10" t="s">
        <v>564</v>
      </c>
      <c r="C17" s="12" t="s">
        <v>110</v>
      </c>
      <c r="D17" s="10" t="s">
        <v>25</v>
      </c>
      <c r="E17" s="36" t="str">
        <f>HYPERLINK("https://youtu.be/fW5dlztlfcY?t=6756","channel 1")</f>
        <v>channel 1</v>
      </c>
    </row>
    <row r="18">
      <c r="A18" s="7"/>
      <c r="B18" s="10" t="s">
        <v>558</v>
      </c>
      <c r="C18" s="12" t="s">
        <v>59</v>
      </c>
      <c r="D18" s="10" t="s">
        <v>562</v>
      </c>
      <c r="E18" s="13" t="str">
        <f>HYPERLINK("https://youtu.be/u7yhYTSoYjg?t=6860","channel 2")</f>
        <v>channel 2</v>
      </c>
    </row>
    <row r="19">
      <c r="A19" s="7"/>
      <c r="B19" s="10" t="s">
        <v>560</v>
      </c>
      <c r="C19" s="12" t="s">
        <v>82</v>
      </c>
      <c r="D19" s="10" t="s">
        <v>25</v>
      </c>
      <c r="E19" s="36" t="str">
        <f>HYPERLINK("https://youtu.be/fW5dlztlfcY?t=7735","channel 1")</f>
        <v>channel 1</v>
      </c>
    </row>
    <row r="20">
      <c r="A20" s="7"/>
      <c r="B20" s="10" t="s">
        <v>558</v>
      </c>
      <c r="C20" s="12" t="s">
        <v>575</v>
      </c>
      <c r="D20" s="10" t="s">
        <v>564</v>
      </c>
      <c r="E20" s="13" t="str">
        <f>HYPERLINK("https://youtu.be/u7yhYTSoYjg?t=7878","channel 2")</f>
        <v>channel 2</v>
      </c>
    </row>
    <row r="21">
      <c r="A21" s="7"/>
      <c r="B21" s="10" t="s">
        <v>562</v>
      </c>
      <c r="C21" s="12" t="s">
        <v>108</v>
      </c>
      <c r="D21" s="10" t="s">
        <v>25</v>
      </c>
      <c r="E21" s="36" t="str">
        <f>HYPERLINK("https://youtu.be/fW5dlztlfcY?t=8644","channel 1")</f>
        <v>channel 1</v>
      </c>
    </row>
    <row r="22">
      <c r="A22" s="7"/>
      <c r="B22" s="10" t="s">
        <v>560</v>
      </c>
      <c r="C22" s="12" t="s">
        <v>135</v>
      </c>
      <c r="D22" s="10" t="s">
        <v>564</v>
      </c>
      <c r="E22" s="13" t="str">
        <f>HYPERLINK("https://youtu.be/u7yhYTSoYjg?t=8827","channel 2")</f>
        <v>channel 2</v>
      </c>
    </row>
    <row r="23">
      <c r="A23" s="7"/>
      <c r="B23" s="2" t="s">
        <v>579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581</v>
      </c>
      <c r="C25" s="12" t="s">
        <v>494</v>
      </c>
      <c r="D25" s="10" t="s">
        <v>582</v>
      </c>
      <c r="E25" s="36" t="str">
        <f>HYPERLINK("https://youtu.be/hzj-K1GVIr0","channel 1")</f>
        <v>channel 1</v>
      </c>
    </row>
    <row r="26">
      <c r="A26" s="7"/>
      <c r="B26" s="10" t="s">
        <v>300</v>
      </c>
      <c r="C26" s="12" t="s">
        <v>47</v>
      </c>
      <c r="D26" s="10" t="s">
        <v>585</v>
      </c>
      <c r="E26" s="13" t="str">
        <f>HYPERLINK("https://youtu.be/_8yzAWLjI98","channel 2")</f>
        <v>channel 2</v>
      </c>
    </row>
    <row r="27">
      <c r="A27" s="7"/>
      <c r="B27" s="10" t="s">
        <v>587</v>
      </c>
      <c r="C27" s="12" t="s">
        <v>311</v>
      </c>
      <c r="D27" s="10" t="s">
        <v>581</v>
      </c>
      <c r="E27" s="36" t="str">
        <f>HYPERLINK("https://youtu.be/hzj-K1GVIr0?t=868","channel 1")</f>
        <v>channel 1</v>
      </c>
    </row>
    <row r="28">
      <c r="A28" s="7"/>
      <c r="B28" s="10" t="s">
        <v>300</v>
      </c>
      <c r="C28" s="12" t="s">
        <v>214</v>
      </c>
      <c r="D28" s="10" t="s">
        <v>582</v>
      </c>
      <c r="E28" s="13" t="str">
        <f>HYPERLINK("https://youtu.be/_8yzAWLjI98?t=1038","channel 2")</f>
        <v>channel 2</v>
      </c>
    </row>
    <row r="29">
      <c r="A29" s="7"/>
      <c r="B29" s="10" t="s">
        <v>587</v>
      </c>
      <c r="C29" s="12" t="s">
        <v>103</v>
      </c>
      <c r="D29" s="10" t="s">
        <v>585</v>
      </c>
      <c r="E29" s="36" t="str">
        <f>HYPERLINK("https://youtu.be/hzj-K1GVIr0?t=2440","channel 1")</f>
        <v>channel 1</v>
      </c>
    </row>
    <row r="30">
      <c r="A30" s="7"/>
      <c r="B30" s="10" t="s">
        <v>300</v>
      </c>
      <c r="C30" s="12" t="s">
        <v>420</v>
      </c>
      <c r="D30" s="10" t="s">
        <v>581</v>
      </c>
      <c r="E30" s="13" t="str">
        <f>HYPERLINK("https://youtu.be/_8yzAWLjI98?t=2503","channel 2")</f>
        <v>channel 2</v>
      </c>
    </row>
    <row r="31">
      <c r="A31" s="7"/>
      <c r="B31" s="10" t="s">
        <v>587</v>
      </c>
      <c r="C31" s="12" t="s">
        <v>33</v>
      </c>
      <c r="D31" s="10" t="s">
        <v>582</v>
      </c>
      <c r="E31" s="36" t="str">
        <f>HYPERLINK("https://youtu.be/hzj-K1GVIr0?t=3299","channel 1")</f>
        <v>channel 1</v>
      </c>
    </row>
    <row r="32">
      <c r="A32" s="7"/>
      <c r="B32" s="10" t="s">
        <v>585</v>
      </c>
      <c r="C32" s="12" t="s">
        <v>214</v>
      </c>
      <c r="D32" s="10" t="s">
        <v>581</v>
      </c>
      <c r="E32" s="13" t="str">
        <f>HYPERLINK("https://youtu.be/_8yzAWLjI98?t=3465","channel 2")</f>
        <v>channel 2</v>
      </c>
    </row>
    <row r="33">
      <c r="A33" s="7"/>
      <c r="B33" s="10" t="s">
        <v>587</v>
      </c>
      <c r="C33" s="12" t="s">
        <v>32</v>
      </c>
      <c r="D33" s="10" t="s">
        <v>300</v>
      </c>
      <c r="E33" s="36" t="str">
        <f>HYPERLINK("https://youtu.be/hzj-K1GVIr0?t=4236","channel 1")</f>
        <v>channel 1</v>
      </c>
    </row>
    <row r="34">
      <c r="A34" s="7"/>
      <c r="B34" s="10" t="s">
        <v>585</v>
      </c>
      <c r="C34" s="12" t="s">
        <v>145</v>
      </c>
      <c r="D34" s="10" t="s">
        <v>582</v>
      </c>
      <c r="E34" s="13" t="str">
        <f>HYPERLINK("https://youtu.be/_8yzAWLjI98?t=4383","channel 2")</f>
        <v>channel 2</v>
      </c>
    </row>
    <row r="35">
      <c r="A35" s="7"/>
      <c r="B35" s="10" t="s">
        <v>582</v>
      </c>
      <c r="C35" s="12" t="s">
        <v>141</v>
      </c>
      <c r="D35" s="10" t="s">
        <v>581</v>
      </c>
      <c r="E35" s="36" t="str">
        <f>HYPERLINK("https://youtu.be/hzj-K1GVIr0?t=5042","channel 1")</f>
        <v>channel 1</v>
      </c>
    </row>
    <row r="36">
      <c r="A36" s="7"/>
      <c r="B36" s="10" t="s">
        <v>585</v>
      </c>
      <c r="C36" s="12" t="s">
        <v>57</v>
      </c>
      <c r="D36" s="10" t="s">
        <v>300</v>
      </c>
      <c r="E36" s="13" t="str">
        <f>HYPERLINK("https://youtu.be/_8yzAWLjI98?t=5338","channel 2")</f>
        <v>channel 2</v>
      </c>
    </row>
    <row r="37">
      <c r="A37" s="7"/>
      <c r="B37" s="10" t="s">
        <v>581</v>
      </c>
      <c r="C37" s="12" t="s">
        <v>109</v>
      </c>
      <c r="D37" s="10" t="s">
        <v>587</v>
      </c>
      <c r="E37" s="36" t="str">
        <f>HYPERLINK("https://youtu.be/hzj-K1GVIr0?t=6025","channel 1")</f>
        <v>channel 1</v>
      </c>
    </row>
    <row r="38">
      <c r="A38" s="7"/>
      <c r="B38" s="10" t="s">
        <v>582</v>
      </c>
      <c r="C38" s="12" t="s">
        <v>59</v>
      </c>
      <c r="D38" s="10" t="s">
        <v>300</v>
      </c>
      <c r="E38" s="13" t="str">
        <f>HYPERLINK("https://youtu.be/_8yzAWLjI98?t=6279","channel 2")</f>
        <v>channel 2</v>
      </c>
    </row>
    <row r="39">
      <c r="A39" s="7"/>
      <c r="B39" s="10" t="s">
        <v>585</v>
      </c>
      <c r="C39" s="18" t="s">
        <v>555</v>
      </c>
      <c r="D39" s="10" t="s">
        <v>587</v>
      </c>
      <c r="E39" s="36" t="str">
        <f>HYPERLINK("https://youtu.be/hzj-K1GVIr0?t=6954","channel 1")</f>
        <v>channel 1</v>
      </c>
    </row>
    <row r="40">
      <c r="A40" s="7"/>
      <c r="B40" s="10" t="s">
        <v>581</v>
      </c>
      <c r="C40" s="12" t="s">
        <v>212</v>
      </c>
      <c r="D40" s="10" t="s">
        <v>300</v>
      </c>
      <c r="E40" s="13" t="str">
        <f>HYPERLINK("https://youtu.be/_8yzAWLjI98?t=7182","channel 2")</f>
        <v>channel 2</v>
      </c>
    </row>
    <row r="41">
      <c r="A41" s="7"/>
      <c r="B41" s="10" t="s">
        <v>582</v>
      </c>
      <c r="C41" s="12" t="s">
        <v>42</v>
      </c>
      <c r="D41" s="10" t="s">
        <v>587</v>
      </c>
      <c r="E41" s="36" t="str">
        <f>HYPERLINK("https://youtu.be/PRrRWnp5xC8","channel 1")</f>
        <v>channel 1</v>
      </c>
    </row>
    <row r="42">
      <c r="A42" s="7"/>
      <c r="B42" s="10" t="s">
        <v>581</v>
      </c>
      <c r="C42" s="12" t="s">
        <v>595</v>
      </c>
      <c r="D42" s="10" t="s">
        <v>585</v>
      </c>
      <c r="E42" s="13" t="str">
        <f>HYPERLINK("https://youtu.be/jHPXs6fbB74","channel 2")</f>
        <v>channel 2</v>
      </c>
    </row>
    <row r="43">
      <c r="A43" s="7"/>
      <c r="B43" s="10" t="s">
        <v>300</v>
      </c>
      <c r="C43" s="49" t="s">
        <v>58</v>
      </c>
      <c r="D43" s="10" t="s">
        <v>587</v>
      </c>
      <c r="E43" s="50" t="s">
        <v>26</v>
      </c>
    </row>
    <row r="44">
      <c r="A44" s="7"/>
      <c r="B44" s="10" t="s">
        <v>582</v>
      </c>
      <c r="C44" s="49" t="s">
        <v>58</v>
      </c>
      <c r="D44" s="10" t="s">
        <v>585</v>
      </c>
      <c r="E44" s="23" t="s">
        <v>28</v>
      </c>
    </row>
    <row r="45">
      <c r="A45" s="7"/>
      <c r="B45" s="2" t="s">
        <v>597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599</v>
      </c>
      <c r="C47" s="12" t="s">
        <v>322</v>
      </c>
      <c r="D47" s="10" t="s">
        <v>600</v>
      </c>
      <c r="E47" s="36" t="str">
        <f>HYPERLINK("https://youtu.be/YZ1e5foO1pw?t=78","channel 1")</f>
        <v>channel 1</v>
      </c>
    </row>
    <row r="48">
      <c r="A48" s="7"/>
      <c r="B48" s="10" t="s">
        <v>602</v>
      </c>
      <c r="C48" s="12" t="s">
        <v>436</v>
      </c>
      <c r="D48" s="10" t="s">
        <v>563</v>
      </c>
      <c r="E48" s="13" t="str">
        <f>HYPERLINK("https://youtu.be/IbQjqigOScI","channel 2")</f>
        <v>channel 2</v>
      </c>
    </row>
    <row r="49">
      <c r="A49" s="7"/>
      <c r="B49" s="10" t="s">
        <v>606</v>
      </c>
      <c r="C49" s="12" t="s">
        <v>458</v>
      </c>
      <c r="D49" s="10" t="s">
        <v>599</v>
      </c>
      <c r="E49" s="36" t="str">
        <f>HYPERLINK("https://youtu.be/YZ1e5foO1pw?t=1126","channel 1")</f>
        <v>channel 1</v>
      </c>
    </row>
    <row r="50">
      <c r="A50" s="7"/>
      <c r="B50" s="10" t="s">
        <v>602</v>
      </c>
      <c r="C50" s="12" t="s">
        <v>148</v>
      </c>
      <c r="D50" s="10" t="s">
        <v>600</v>
      </c>
      <c r="E50" s="13" t="str">
        <f>HYPERLINK("https://youtu.be/IbQjqigOScI?t=1115","channel 2")</f>
        <v>channel 2</v>
      </c>
    </row>
    <row r="51">
      <c r="A51" s="7"/>
      <c r="B51" s="10" t="s">
        <v>606</v>
      </c>
      <c r="C51" s="12" t="s">
        <v>538</v>
      </c>
      <c r="D51" s="10" t="s">
        <v>563</v>
      </c>
      <c r="E51" s="36" t="str">
        <f>HYPERLINK("https://youtu.be/YZ1e5foO1pw?t=2122","channel 1")</f>
        <v>channel 1</v>
      </c>
    </row>
    <row r="52">
      <c r="A52" s="7"/>
      <c r="B52" s="10" t="s">
        <v>602</v>
      </c>
      <c r="C52" s="12" t="s">
        <v>337</v>
      </c>
      <c r="D52" s="10" t="s">
        <v>599</v>
      </c>
      <c r="E52" s="13" t="str">
        <f>HYPERLINK("https://youtu.be/IbQjqigOScI?t=2051","channel 2")</f>
        <v>channel 2</v>
      </c>
    </row>
    <row r="53">
      <c r="A53" s="7"/>
      <c r="B53" s="10" t="s">
        <v>606</v>
      </c>
      <c r="C53" s="12" t="s">
        <v>18</v>
      </c>
      <c r="D53" s="10" t="s">
        <v>600</v>
      </c>
      <c r="E53" s="36" t="str">
        <f>HYPERLINK("https://youtu.be/S75uJ4n9Q8o","channel 1")</f>
        <v>channel 1</v>
      </c>
    </row>
    <row r="54">
      <c r="A54" s="7"/>
      <c r="B54" s="10" t="s">
        <v>563</v>
      </c>
      <c r="C54" s="12" t="s">
        <v>458</v>
      </c>
      <c r="D54" s="10" t="s">
        <v>599</v>
      </c>
      <c r="E54" s="13" t="str">
        <f>HYPERLINK("https://youtu.be/Ex8sf32yYJo","channel 2")</f>
        <v>channel 2</v>
      </c>
    </row>
    <row r="55">
      <c r="A55" s="7"/>
      <c r="B55" s="10" t="s">
        <v>606</v>
      </c>
      <c r="C55" s="12" t="s">
        <v>311</v>
      </c>
      <c r="D55" s="10" t="s">
        <v>602</v>
      </c>
      <c r="E55" s="36" t="str">
        <f>HYPERLINK("https://youtu.be/S75uJ4n9Q8o?t=975","channel 1")</f>
        <v>channel 1</v>
      </c>
    </row>
    <row r="56">
      <c r="A56" s="7"/>
      <c r="B56" s="10" t="s">
        <v>563</v>
      </c>
      <c r="C56" s="12" t="s">
        <v>216</v>
      </c>
      <c r="D56" s="10" t="s">
        <v>600</v>
      </c>
      <c r="E56" s="13" t="str">
        <f>HYPERLINK("https://youtu.be/Ex8sf32yYJo?t=936","channel 2")</f>
        <v>channel 2</v>
      </c>
    </row>
    <row r="57">
      <c r="A57" s="7"/>
      <c r="B57" s="10" t="s">
        <v>600</v>
      </c>
      <c r="C57" s="12" t="s">
        <v>18</v>
      </c>
      <c r="D57" s="10" t="s">
        <v>599</v>
      </c>
      <c r="E57" s="36" t="str">
        <f>HYPERLINK("https://youtu.be/S75uJ4n9Q8o?t=1947","channel 1")</f>
        <v>channel 1</v>
      </c>
    </row>
    <row r="58">
      <c r="A58" s="7"/>
      <c r="B58" s="10" t="s">
        <v>563</v>
      </c>
      <c r="C58" s="12" t="s">
        <v>99</v>
      </c>
      <c r="D58" s="10" t="s">
        <v>602</v>
      </c>
      <c r="E58" s="13" t="str">
        <f>HYPERLINK("https://youtu.be/Ex8sf32yYJo?t=1848","channel 2")</f>
        <v>channel 2</v>
      </c>
    </row>
    <row r="59">
      <c r="A59" s="7"/>
      <c r="B59" s="10" t="s">
        <v>599</v>
      </c>
      <c r="C59" s="12" t="s">
        <v>59</v>
      </c>
      <c r="D59" s="10" t="s">
        <v>606</v>
      </c>
      <c r="E59" s="36" t="str">
        <f>HYPERLINK("https://youtu.be/S75uJ4n9Q8o?t=2911","channel 1")</f>
        <v>channel 1</v>
      </c>
    </row>
    <row r="60">
      <c r="A60" s="7"/>
      <c r="B60" s="10" t="s">
        <v>600</v>
      </c>
      <c r="C60" s="12" t="s">
        <v>59</v>
      </c>
      <c r="D60" s="10" t="s">
        <v>602</v>
      </c>
      <c r="E60" s="13" t="str">
        <f>HYPERLINK("https://youtu.be/Ex8sf32yYJo?t=2800","channel 2")</f>
        <v>channel 2</v>
      </c>
    </row>
    <row r="61">
      <c r="A61" s="7"/>
      <c r="B61" s="10" t="s">
        <v>563</v>
      </c>
      <c r="C61" s="12" t="s">
        <v>113</v>
      </c>
      <c r="D61" s="10" t="s">
        <v>606</v>
      </c>
      <c r="E61" s="36" t="str">
        <f>HYPERLINK("https://youtu.be/S75uJ4n9Q8o?t=3819","channel 1")</f>
        <v>channel 1</v>
      </c>
    </row>
    <row r="62">
      <c r="A62" s="7"/>
      <c r="B62" s="10" t="s">
        <v>599</v>
      </c>
      <c r="C62" s="18" t="s">
        <v>103</v>
      </c>
      <c r="D62" s="10" t="s">
        <v>602</v>
      </c>
      <c r="E62" s="13" t="str">
        <f>HYPERLINK("https://youtu.be/Ex8sf32yYJo?t=3791","channel 2")</f>
        <v>channel 2</v>
      </c>
    </row>
    <row r="63">
      <c r="A63" s="7"/>
      <c r="B63" s="10" t="s">
        <v>600</v>
      </c>
      <c r="C63" s="12" t="s">
        <v>108</v>
      </c>
      <c r="D63" s="10" t="s">
        <v>606</v>
      </c>
      <c r="E63" s="36" t="str">
        <f>HYPERLINK("https://youtu.be/S75uJ4n9Q8o?t=4812","channel 1")</f>
        <v>channel 1</v>
      </c>
    </row>
    <row r="64">
      <c r="A64" s="7"/>
      <c r="B64" s="10" t="s">
        <v>599</v>
      </c>
      <c r="C64" s="12" t="s">
        <v>188</v>
      </c>
      <c r="D64" s="10" t="s">
        <v>563</v>
      </c>
      <c r="E64" s="13" t="str">
        <f>HYPERLINK("https://youtu.be/Ex8sf32yYJo?t=4846","channel 2")</f>
        <v>channel 2</v>
      </c>
    </row>
    <row r="65">
      <c r="A65" s="7"/>
      <c r="B65" s="10" t="s">
        <v>602</v>
      </c>
      <c r="C65" s="12" t="s">
        <v>97</v>
      </c>
      <c r="D65" s="10" t="s">
        <v>606</v>
      </c>
      <c r="E65" s="36" t="str">
        <f>HYPERLINK("https://youtu.be/S75uJ4n9Q8o?t=5766","channel 1")</f>
        <v>channel 1</v>
      </c>
    </row>
    <row r="66">
      <c r="A66" s="7"/>
      <c r="B66" s="10" t="s">
        <v>600</v>
      </c>
      <c r="C66" s="12" t="s">
        <v>343</v>
      </c>
      <c r="D66" s="10" t="s">
        <v>563</v>
      </c>
      <c r="E66" s="13" t="str">
        <f>HYPERLINK("https://youtu.be/Ex8sf32yYJo?t=5777","channel 2")</f>
        <v>channel 2</v>
      </c>
    </row>
    <row r="67">
      <c r="A67" s="7"/>
      <c r="B67" s="42" t="s">
        <v>229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267</v>
      </c>
      <c r="C69" s="12" t="s">
        <v>307</v>
      </c>
      <c r="D69" s="10" t="s">
        <v>621</v>
      </c>
      <c r="E69" s="36" t="str">
        <f>HYPERLINK("https://youtu.be/VSLGHcpcJoU","channel 1")</f>
        <v>channel 1</v>
      </c>
    </row>
    <row r="70">
      <c r="A70" s="7"/>
      <c r="B70" s="10" t="s">
        <v>622</v>
      </c>
      <c r="C70" s="12" t="s">
        <v>623</v>
      </c>
      <c r="D70" s="10" t="s">
        <v>625</v>
      </c>
      <c r="E70" s="13" t="str">
        <f>HYPERLINK("https://youtu.be/eSFQpJNuqTM","channel 2")</f>
        <v>channel 2</v>
      </c>
    </row>
    <row r="71">
      <c r="A71" s="7"/>
      <c r="B71" s="10" t="s">
        <v>627</v>
      </c>
      <c r="C71" s="12" t="s">
        <v>46</v>
      </c>
      <c r="D71" s="10" t="s">
        <v>267</v>
      </c>
      <c r="E71" s="36" t="str">
        <f>HYPERLINK("https://youtu.be/nTMgUgbrYv4","channel 1")</f>
        <v>channel 1</v>
      </c>
    </row>
    <row r="72">
      <c r="A72" s="7"/>
      <c r="B72" s="10" t="s">
        <v>622</v>
      </c>
      <c r="C72" s="12" t="s">
        <v>337</v>
      </c>
      <c r="D72" s="10" t="s">
        <v>621</v>
      </c>
      <c r="E72" s="13" t="str">
        <f>HYPERLINK("https://youtu.be/-fdzBNZA00M","channel 2")</f>
        <v>channel 2</v>
      </c>
    </row>
    <row r="73">
      <c r="A73" s="7"/>
      <c r="B73" s="10" t="s">
        <v>627</v>
      </c>
      <c r="C73" s="12" t="s">
        <v>257</v>
      </c>
      <c r="D73" s="10" t="s">
        <v>625</v>
      </c>
      <c r="E73" s="36" t="str">
        <f>HYPERLINK("https://youtu.be/nTMgUgbrYv4?t=1030","channel 1")</f>
        <v>channel 1</v>
      </c>
    </row>
    <row r="74">
      <c r="A74" s="7"/>
      <c r="B74" s="10" t="s">
        <v>622</v>
      </c>
      <c r="C74" s="12" t="s">
        <v>630</v>
      </c>
      <c r="D74" s="10" t="s">
        <v>267</v>
      </c>
      <c r="E74" s="13" t="str">
        <f>HYPERLINK("https://youtu.be/-fdzBNZA00M?t=1043","channel 2")</f>
        <v>channel 2</v>
      </c>
    </row>
    <row r="75">
      <c r="A75" s="7"/>
      <c r="B75" s="10" t="s">
        <v>627</v>
      </c>
      <c r="C75" s="12" t="s">
        <v>111</v>
      </c>
      <c r="D75" s="10" t="s">
        <v>621</v>
      </c>
      <c r="E75" s="36" t="str">
        <f>HYPERLINK("https://youtu.be/nTMgUgbrYv4?t=1974","channel 1")</f>
        <v>channel 1</v>
      </c>
    </row>
    <row r="76">
      <c r="A76" s="7"/>
      <c r="B76" s="10" t="s">
        <v>625</v>
      </c>
      <c r="C76" s="12" t="s">
        <v>27</v>
      </c>
      <c r="D76" s="10" t="s">
        <v>267</v>
      </c>
      <c r="E76" s="13" t="str">
        <f>HYPERLINK("https://youtu.be/-fdzBNZA00M?t=2042","channel 2")</f>
        <v>channel 2</v>
      </c>
    </row>
    <row r="77">
      <c r="A77" s="7"/>
      <c r="B77" s="10" t="s">
        <v>627</v>
      </c>
      <c r="C77" s="12" t="s">
        <v>553</v>
      </c>
      <c r="D77" s="10" t="s">
        <v>622</v>
      </c>
      <c r="E77" s="36" t="str">
        <f>HYPERLINK("https://youtu.be/nTMgUgbrYv4?t=2904","channel 1")</f>
        <v>channel 1</v>
      </c>
    </row>
    <row r="78">
      <c r="A78" s="7"/>
      <c r="B78" s="10" t="s">
        <v>625</v>
      </c>
      <c r="C78" s="12" t="s">
        <v>85</v>
      </c>
      <c r="D78" s="10" t="s">
        <v>621</v>
      </c>
      <c r="E78" s="13" t="str">
        <f>HYPERLINK("https://youtu.be/-fdzBNZA00M?t=3045","channel 2")</f>
        <v>channel 2</v>
      </c>
    </row>
    <row r="79">
      <c r="A79" s="7"/>
      <c r="B79" s="10" t="s">
        <v>621</v>
      </c>
      <c r="C79" s="12" t="s">
        <v>141</v>
      </c>
      <c r="D79" s="10" t="s">
        <v>267</v>
      </c>
      <c r="E79" s="36" t="str">
        <f>HYPERLINK("https://youtu.be/nTMgUgbrYv4?t=3856","channel 1")</f>
        <v>channel 1</v>
      </c>
    </row>
    <row r="80">
      <c r="A80" s="7"/>
      <c r="B80" s="10" t="s">
        <v>625</v>
      </c>
      <c r="C80" s="12" t="s">
        <v>308</v>
      </c>
      <c r="D80" s="10" t="s">
        <v>622</v>
      </c>
      <c r="E80" s="13" t="str">
        <f>HYPERLINK("https://youtu.be/-fdzBNZA00M?t=3899","channel 2")</f>
        <v>channel 2</v>
      </c>
    </row>
    <row r="81">
      <c r="A81" s="7"/>
      <c r="B81" s="10" t="s">
        <v>267</v>
      </c>
      <c r="C81" s="12" t="s">
        <v>36</v>
      </c>
      <c r="D81" s="10" t="s">
        <v>627</v>
      </c>
      <c r="E81" s="36" t="str">
        <f>HYPERLINK("https://youtu.be/nTMgUgbrYv4?t=4813","channel 1")</f>
        <v>channel 1</v>
      </c>
    </row>
    <row r="82">
      <c r="A82" s="7"/>
      <c r="B82" s="10" t="s">
        <v>621</v>
      </c>
      <c r="C82" s="12" t="s">
        <v>85</v>
      </c>
      <c r="D82" s="10" t="s">
        <v>622</v>
      </c>
      <c r="E82" s="13" t="str">
        <f>HYPERLINK("https://youtu.be/-fdzBNZA00M?t=4842","channel 2")</f>
        <v>channel 2</v>
      </c>
    </row>
    <row r="83">
      <c r="A83" s="7"/>
      <c r="B83" s="10" t="s">
        <v>625</v>
      </c>
      <c r="C83" s="12" t="s">
        <v>632</v>
      </c>
      <c r="D83" s="10" t="s">
        <v>627</v>
      </c>
      <c r="E83" s="36" t="str">
        <f>HYPERLINK("https://youtu.be/nTMgUgbrYv4?t=5780","channel 1")</f>
        <v>channel 1</v>
      </c>
    </row>
    <row r="84">
      <c r="A84" s="7"/>
      <c r="B84" s="10" t="s">
        <v>267</v>
      </c>
      <c r="C84" s="12" t="s">
        <v>38</v>
      </c>
      <c r="D84" s="10" t="s">
        <v>622</v>
      </c>
      <c r="E84" s="13" t="str">
        <f>HYPERLINK("https://youtu.be/-fdzBNZA00M?t=5823","channel 2")</f>
        <v>channel 2</v>
      </c>
    </row>
    <row r="85">
      <c r="A85" s="7"/>
      <c r="B85" s="10" t="s">
        <v>621</v>
      </c>
      <c r="C85" s="12" t="s">
        <v>477</v>
      </c>
      <c r="D85" s="10" t="s">
        <v>627</v>
      </c>
      <c r="E85" s="36" t="str">
        <f>HYPERLINK("https://youtu.be/nTMgUgbrYv4?t=6753","channel 1")</f>
        <v>channel 1</v>
      </c>
    </row>
    <row r="86">
      <c r="A86" s="7"/>
      <c r="B86" s="10" t="s">
        <v>267</v>
      </c>
      <c r="C86" s="12" t="s">
        <v>633</v>
      </c>
      <c r="D86" s="10" t="s">
        <v>625</v>
      </c>
      <c r="E86" s="13" t="str">
        <f>HYPERLINK("https://youtu.be/-fdzBNZA00M?t=6753","channel 2")</f>
        <v>channel 2</v>
      </c>
    </row>
    <row r="87">
      <c r="A87" s="7"/>
      <c r="B87" s="10" t="s">
        <v>622</v>
      </c>
      <c r="C87" s="12" t="s">
        <v>55</v>
      </c>
      <c r="D87" s="10" t="s">
        <v>627</v>
      </c>
      <c r="E87" s="36" t="str">
        <f>HYPERLINK("https://youtu.be/nTMgUgbrYv4?t=7768","channel 1")</f>
        <v>channel 1</v>
      </c>
    </row>
    <row r="88">
      <c r="A88" s="7"/>
      <c r="B88" s="10" t="s">
        <v>621</v>
      </c>
      <c r="C88" s="12" t="s">
        <v>636</v>
      </c>
      <c r="D88" s="10" t="s">
        <v>625</v>
      </c>
      <c r="E88" s="13" t="str">
        <f>HYPERLINK("https://youtu.be/-fdzBNZA00M?t=7713","channel 2")</f>
        <v>channel 2</v>
      </c>
    </row>
    <row r="89">
      <c r="A89" s="7"/>
      <c r="B89" s="2" t="s">
        <v>638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488</v>
      </c>
      <c r="C91" s="12" t="s">
        <v>109</v>
      </c>
      <c r="D91" s="10" t="s">
        <v>641</v>
      </c>
      <c r="E91" s="36" t="str">
        <f>HYPERLINK("https://youtu.be/m4diEzKqcVY","channel 1")</f>
        <v>channel 1</v>
      </c>
    </row>
    <row r="92">
      <c r="A92" s="7"/>
      <c r="B92" s="10" t="s">
        <v>642</v>
      </c>
      <c r="C92" s="12" t="s">
        <v>160</v>
      </c>
      <c r="D92" s="10" t="s">
        <v>643</v>
      </c>
      <c r="E92" s="13" t="str">
        <f>HYPERLINK("https://youtu.be/1-emGaLgCdE","channel 2")</f>
        <v>channel 2</v>
      </c>
    </row>
    <row r="93">
      <c r="A93" s="7"/>
      <c r="B93" s="10" t="s">
        <v>644</v>
      </c>
      <c r="C93" s="12" t="s">
        <v>311</v>
      </c>
      <c r="D93" s="10" t="s">
        <v>488</v>
      </c>
      <c r="E93" s="36" t="str">
        <f>HYPERLINK("https://youtu.be/m4diEzKqcVY?t=713","channel 1")</f>
        <v>channel 1</v>
      </c>
    </row>
    <row r="94">
      <c r="A94" s="7"/>
      <c r="B94" s="10" t="s">
        <v>642</v>
      </c>
      <c r="C94" s="12" t="s">
        <v>322</v>
      </c>
      <c r="D94" s="10" t="s">
        <v>641</v>
      </c>
      <c r="E94" s="13" t="str">
        <f>HYPERLINK("https://youtu.be/1-emGaLgCdE?t=1281","channel 2")</f>
        <v>channel 2</v>
      </c>
    </row>
    <row r="95">
      <c r="A95" s="7"/>
      <c r="B95" s="10" t="s">
        <v>644</v>
      </c>
      <c r="C95" s="46" t="s">
        <v>55</v>
      </c>
      <c r="D95" s="10" t="s">
        <v>643</v>
      </c>
      <c r="E95" s="36" t="str">
        <f>HYPERLINK("https://youtu.be/m4diEzKqcVY?t=1648","channel 1")</f>
        <v>channel 1</v>
      </c>
    </row>
    <row r="96">
      <c r="A96" s="7"/>
      <c r="B96" s="10" t="s">
        <v>642</v>
      </c>
      <c r="C96" s="12" t="s">
        <v>24</v>
      </c>
      <c r="D96" s="10" t="s">
        <v>488</v>
      </c>
      <c r="E96" s="13" t="str">
        <f>HYPERLINK("https://youtu.be/1-emGaLgCdE?t=2207","channel 2")</f>
        <v>channel 2</v>
      </c>
    </row>
    <row r="97">
      <c r="A97" s="7"/>
      <c r="B97" s="10" t="s">
        <v>644</v>
      </c>
      <c r="C97" s="12" t="s">
        <v>645</v>
      </c>
      <c r="D97" s="10" t="s">
        <v>641</v>
      </c>
      <c r="E97" s="36" t="str">
        <f>HYPERLINK("https://youtu.be/m4diEzKqcVY?t=2689","channel 1")</f>
        <v>channel 1</v>
      </c>
    </row>
    <row r="98">
      <c r="A98" s="7"/>
      <c r="B98" s="10" t="s">
        <v>643</v>
      </c>
      <c r="C98" s="12" t="s">
        <v>180</v>
      </c>
      <c r="D98" s="10" t="s">
        <v>488</v>
      </c>
      <c r="E98" s="13" t="str">
        <f>HYPERLINK("https://youtu.be/1-emGaLgCdE?t=3138","channel 2")</f>
        <v>channel 2</v>
      </c>
    </row>
    <row r="99">
      <c r="A99" s="7"/>
      <c r="B99" s="10" t="s">
        <v>644</v>
      </c>
      <c r="C99" s="12" t="s">
        <v>49</v>
      </c>
      <c r="D99" s="10" t="s">
        <v>642</v>
      </c>
      <c r="E99" s="36" t="str">
        <f>HYPERLINK("https://youtu.be/m4diEzKqcVY?t=3599","channel 1")</f>
        <v>channel 1</v>
      </c>
    </row>
    <row r="100">
      <c r="A100" s="7"/>
      <c r="B100" s="10" t="s">
        <v>643</v>
      </c>
      <c r="C100" s="12" t="s">
        <v>32</v>
      </c>
      <c r="D100" s="10" t="s">
        <v>641</v>
      </c>
      <c r="E100" s="13" t="str">
        <f>HYPERLINK("https://youtu.be/1-emGaLgCdE?t=4137","channel 2")</f>
        <v>channel 2</v>
      </c>
    </row>
    <row r="101">
      <c r="A101" s="7"/>
      <c r="B101" s="10" t="s">
        <v>641</v>
      </c>
      <c r="C101" s="12" t="s">
        <v>278</v>
      </c>
      <c r="D101" s="10" t="s">
        <v>488</v>
      </c>
      <c r="E101" s="36" t="str">
        <f>HYPERLINK("https://youtu.be/m4diEzKqcVY?t=4498","channel 1")</f>
        <v>channel 1</v>
      </c>
    </row>
    <row r="102">
      <c r="A102" s="7"/>
      <c r="B102" s="10" t="s">
        <v>643</v>
      </c>
      <c r="C102" s="12" t="s">
        <v>124</v>
      </c>
      <c r="D102" s="10" t="s">
        <v>642</v>
      </c>
      <c r="E102" s="13" t="str">
        <f>HYPERLINK("https://youtu.be/1-emGaLgCdE?t=5073","channel 2")</f>
        <v>channel 2</v>
      </c>
    </row>
    <row r="103">
      <c r="A103" s="7"/>
      <c r="B103" s="10" t="s">
        <v>488</v>
      </c>
      <c r="C103" s="12" t="s">
        <v>34</v>
      </c>
      <c r="D103" s="10" t="s">
        <v>644</v>
      </c>
      <c r="E103" s="36" t="str">
        <f>HYPERLINK("https://youtu.be/m4diEzKqcVY?t=5427","channel 1")</f>
        <v>channel 1</v>
      </c>
    </row>
    <row r="104">
      <c r="A104" s="7"/>
      <c r="B104" s="10" t="s">
        <v>641</v>
      </c>
      <c r="C104" s="12" t="s">
        <v>184</v>
      </c>
      <c r="D104" s="10" t="s">
        <v>642</v>
      </c>
      <c r="E104" s="13" t="str">
        <f>HYPERLINK("https://youtu.be/1-emGaLgCdE?t=5961","channel 2")</f>
        <v>channel 2</v>
      </c>
    </row>
    <row r="105">
      <c r="A105" s="7"/>
      <c r="B105" s="10" t="s">
        <v>643</v>
      </c>
      <c r="C105" s="12" t="s">
        <v>135</v>
      </c>
      <c r="D105" s="10" t="s">
        <v>644</v>
      </c>
      <c r="E105" s="36" t="str">
        <f>HYPERLINK("https://youtu.be/m4diEzKqcVY?t=6355","channel 1")</f>
        <v>channel 1</v>
      </c>
    </row>
    <row r="106">
      <c r="A106" s="7"/>
      <c r="B106" s="10" t="s">
        <v>488</v>
      </c>
      <c r="C106" s="12" t="s">
        <v>223</v>
      </c>
      <c r="D106" s="10" t="s">
        <v>642</v>
      </c>
      <c r="E106" s="13" t="str">
        <f>HYPERLINK("https://youtu.be/1-emGaLgCdE?t=6878","channel 2")</f>
        <v>channel 2</v>
      </c>
    </row>
    <row r="107">
      <c r="A107" s="7"/>
      <c r="B107" s="10" t="s">
        <v>641</v>
      </c>
      <c r="C107" s="12" t="s">
        <v>647</v>
      </c>
      <c r="D107" s="10" t="s">
        <v>644</v>
      </c>
      <c r="E107" s="36" t="str">
        <f>HYPERLINK("https://youtu.be/m4diEzKqcVY?t=7367","channel 1")</f>
        <v>channel 1</v>
      </c>
    </row>
    <row r="108">
      <c r="A108" s="7"/>
      <c r="B108" s="10" t="s">
        <v>488</v>
      </c>
      <c r="C108" s="12" t="s">
        <v>296</v>
      </c>
      <c r="D108" s="10" t="s">
        <v>643</v>
      </c>
      <c r="E108" s="13" t="str">
        <f>HYPERLINK("https://youtu.be/1-emGaLgCdE?t=7833","channel 2")</f>
        <v>channel 2</v>
      </c>
    </row>
    <row r="109">
      <c r="A109" s="7"/>
      <c r="B109" s="10" t="s">
        <v>642</v>
      </c>
      <c r="C109" s="12" t="s">
        <v>522</v>
      </c>
      <c r="D109" s="10" t="s">
        <v>644</v>
      </c>
      <c r="E109" s="36" t="str">
        <f>HYPERLINK("https://youtu.be/m4diEzKqcVY?t=8361","channel 1")</f>
        <v>channel 1</v>
      </c>
    </row>
    <row r="110">
      <c r="A110" s="7"/>
      <c r="B110" s="10" t="s">
        <v>641</v>
      </c>
      <c r="C110" s="12" t="s">
        <v>649</v>
      </c>
      <c r="D110" s="10" t="s">
        <v>643</v>
      </c>
      <c r="E110" s="13" t="str">
        <f>HYPERLINK("https://youtu.be/1-emGaLgCdE?t=8858","channel 2")</f>
        <v>channel 2</v>
      </c>
    </row>
    <row r="111">
      <c r="A111" s="7"/>
      <c r="B111" s="2" t="s">
        <v>651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47" t="s">
        <v>655</v>
      </c>
      <c r="C113" s="12" t="s">
        <v>117</v>
      </c>
      <c r="D113" s="10" t="s">
        <v>656</v>
      </c>
      <c r="E113" s="36" t="str">
        <f>HYPERLINK("https://youtu.be/byw9OP5qOmU","channel 1")</f>
        <v>channel 1</v>
      </c>
    </row>
    <row r="114">
      <c r="A114" s="7"/>
      <c r="B114" s="10" t="s">
        <v>657</v>
      </c>
      <c r="C114" s="12" t="s">
        <v>97</v>
      </c>
      <c r="D114" s="10" t="s">
        <v>659</v>
      </c>
      <c r="E114" s="13" t="str">
        <f>HYPERLINK("https://youtu.be/ZEhjEMNSQTw","channel 2")</f>
        <v>channel 2</v>
      </c>
    </row>
    <row r="115">
      <c r="A115" s="7"/>
      <c r="B115" s="10" t="s">
        <v>660</v>
      </c>
      <c r="C115" s="12" t="s">
        <v>477</v>
      </c>
      <c r="D115" s="10" t="s">
        <v>655</v>
      </c>
      <c r="E115" s="36" t="str">
        <f>HYPERLINK("https://youtu.be/byw9OP5qOmU?t=1028","channel 1")</f>
        <v>channel 1</v>
      </c>
    </row>
    <row r="116">
      <c r="A116" s="7"/>
      <c r="B116" s="10" t="s">
        <v>657</v>
      </c>
      <c r="C116" s="12" t="s">
        <v>310</v>
      </c>
      <c r="D116" s="10" t="s">
        <v>656</v>
      </c>
      <c r="E116" s="13" t="str">
        <f>HYPERLINK("https://youtu.be/ZEhjEMNSQTw?t=918","channel 2")</f>
        <v>channel 2</v>
      </c>
    </row>
    <row r="117">
      <c r="A117" s="7"/>
      <c r="B117" s="10" t="s">
        <v>660</v>
      </c>
      <c r="C117" s="12" t="s">
        <v>179</v>
      </c>
      <c r="D117" s="10" t="s">
        <v>659</v>
      </c>
      <c r="E117" s="36" t="str">
        <f>HYPERLINK("https://youtu.be/byw9OP5qOmU?t=1957","channel 1")</f>
        <v>channel 1</v>
      </c>
    </row>
    <row r="118">
      <c r="A118" s="7"/>
      <c r="B118" s="10" t="s">
        <v>657</v>
      </c>
      <c r="C118" s="12" t="s">
        <v>30</v>
      </c>
      <c r="D118" s="10" t="s">
        <v>655</v>
      </c>
      <c r="E118" s="13" t="str">
        <f>HYPERLINK("https://youtu.be/ZEhjEMNSQTw?t=1871","channel 2")</f>
        <v>channel 2</v>
      </c>
    </row>
    <row r="119">
      <c r="A119" s="7"/>
      <c r="B119" s="10" t="s">
        <v>660</v>
      </c>
      <c r="C119" s="12" t="s">
        <v>74</v>
      </c>
      <c r="D119" s="10" t="s">
        <v>656</v>
      </c>
      <c r="E119" s="36" t="str">
        <f>HYPERLINK("https://youtu.be/byw9OP5qOmU?t=2884","channel 1")</f>
        <v>channel 1</v>
      </c>
    </row>
    <row r="120">
      <c r="A120" s="7"/>
      <c r="B120" s="10" t="s">
        <v>659</v>
      </c>
      <c r="C120" s="12" t="s">
        <v>37</v>
      </c>
      <c r="D120" s="10" t="s">
        <v>655</v>
      </c>
      <c r="E120" s="13" t="str">
        <f>HYPERLINK("https://youtu.be/ZEhjEMNSQTw?t=2813","channel 2")</f>
        <v>channel 2</v>
      </c>
    </row>
    <row r="121">
      <c r="A121" s="7"/>
      <c r="B121" s="10" t="s">
        <v>660</v>
      </c>
      <c r="C121" s="12" t="s">
        <v>577</v>
      </c>
      <c r="D121" s="10" t="s">
        <v>657</v>
      </c>
      <c r="E121" s="36" t="str">
        <f>HYPERLINK("https://youtu.be/byw9OP5qOmU?t=3785","channel 1")</f>
        <v>channel 1</v>
      </c>
    </row>
    <row r="122">
      <c r="A122" s="7"/>
      <c r="B122" s="10" t="s">
        <v>659</v>
      </c>
      <c r="C122" s="12" t="s">
        <v>59</v>
      </c>
      <c r="D122" s="10" t="s">
        <v>656</v>
      </c>
      <c r="E122" s="13" t="str">
        <f>HYPERLINK("https://youtu.be/ZEhjEMNSQTw?t=3678","channel 2")</f>
        <v>channel 2</v>
      </c>
    </row>
    <row r="123">
      <c r="A123" s="7"/>
      <c r="B123" s="10" t="s">
        <v>656</v>
      </c>
      <c r="C123" s="12" t="s">
        <v>104</v>
      </c>
      <c r="D123" s="10" t="s">
        <v>655</v>
      </c>
      <c r="E123" s="36" t="str">
        <f>HYPERLINK("https://youtu.be/byw9OP5qOmU?t=4677","channel 1")</f>
        <v>channel 1</v>
      </c>
    </row>
    <row r="124">
      <c r="A124" s="7"/>
      <c r="B124" s="10" t="s">
        <v>659</v>
      </c>
      <c r="C124" s="12" t="s">
        <v>156</v>
      </c>
      <c r="D124" s="10" t="s">
        <v>657</v>
      </c>
      <c r="E124" s="13" t="str">
        <f>HYPERLINK("https://youtu.be/ZEhjEMNSQTw?t=4569","channel 2")</f>
        <v>channel 2</v>
      </c>
    </row>
    <row r="125">
      <c r="A125" s="7"/>
      <c r="B125" s="10" t="s">
        <v>655</v>
      </c>
      <c r="C125" s="12" t="s">
        <v>37</v>
      </c>
      <c r="D125" s="10" t="s">
        <v>660</v>
      </c>
      <c r="E125" s="36" t="str">
        <f>HYPERLINK("https://youtu.be/byw9OP5qOmU?t=5626","channel 1")</f>
        <v>channel 1</v>
      </c>
    </row>
    <row r="126">
      <c r="A126" s="7"/>
      <c r="B126" s="10" t="s">
        <v>656</v>
      </c>
      <c r="C126" s="12" t="s">
        <v>210</v>
      </c>
      <c r="D126" s="10" t="s">
        <v>657</v>
      </c>
      <c r="E126" s="13" t="str">
        <f>HYPERLINK("https://youtu.be/ZEhjEMNSQTw?t=5483","channel 2")</f>
        <v>channel 2</v>
      </c>
    </row>
    <row r="127">
      <c r="A127" s="7"/>
      <c r="B127" s="10" t="s">
        <v>659</v>
      </c>
      <c r="C127" s="12" t="s">
        <v>49</v>
      </c>
      <c r="D127" s="10" t="s">
        <v>660</v>
      </c>
      <c r="E127" s="36" t="str">
        <f>HYPERLINK("https://youtu.be/byw9OP5qOmU?t=6545","channel 1")</f>
        <v>channel 1</v>
      </c>
    </row>
    <row r="128">
      <c r="A128" s="7"/>
      <c r="B128" s="10" t="s">
        <v>655</v>
      </c>
      <c r="C128" s="12" t="s">
        <v>99</v>
      </c>
      <c r="D128" s="10" t="s">
        <v>657</v>
      </c>
      <c r="E128" s="13" t="str">
        <f>HYPERLINK("https://youtu.be/ZEhjEMNSQTw?t=6392","channel 2")</f>
        <v>channel 2</v>
      </c>
    </row>
    <row r="129">
      <c r="A129" s="7"/>
      <c r="B129" s="10" t="s">
        <v>656</v>
      </c>
      <c r="C129" s="12" t="s">
        <v>55</v>
      </c>
      <c r="D129" s="10" t="s">
        <v>660</v>
      </c>
      <c r="E129" s="36" t="str">
        <f>HYPERLINK("https://youtu.be/byw9OP5qOmU?t=7447","channel 1")</f>
        <v>channel 1</v>
      </c>
    </row>
    <row r="130">
      <c r="A130" s="7"/>
      <c r="B130" s="10" t="s">
        <v>655</v>
      </c>
      <c r="C130" s="12" t="s">
        <v>59</v>
      </c>
      <c r="D130" s="10" t="s">
        <v>659</v>
      </c>
      <c r="E130" s="13" t="str">
        <f>HYPERLINK("https://youtu.be/ZEhjEMNSQTw?t=7326","channel 2")</f>
        <v>channel 2</v>
      </c>
    </row>
    <row r="131">
      <c r="A131" s="7"/>
      <c r="B131" s="10" t="s">
        <v>657</v>
      </c>
      <c r="C131" s="12" t="s">
        <v>322</v>
      </c>
      <c r="D131" s="10" t="s">
        <v>660</v>
      </c>
      <c r="E131" s="36" t="str">
        <f>HYPERLINK("https://youtu.be/byw9OP5qOmU?t=8354","channel 1")</f>
        <v>channel 1</v>
      </c>
    </row>
    <row r="132">
      <c r="A132" s="25"/>
      <c r="B132" s="10" t="s">
        <v>656</v>
      </c>
      <c r="C132" s="12" t="s">
        <v>661</v>
      </c>
      <c r="D132" s="10" t="s">
        <v>659</v>
      </c>
      <c r="E132" s="13" t="str">
        <f>HYPERLINK("https://youtu.be/ZEhjEMNSQTw?t=8261","channel 2")</f>
        <v>channel 2</v>
      </c>
    </row>
    <row r="133">
      <c r="B133" s="29"/>
      <c r="C133" s="51" t="s">
        <v>556</v>
      </c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335</v>
      </c>
      <c r="C3" s="12" t="s">
        <v>148</v>
      </c>
      <c r="D3" s="10" t="s">
        <v>662</v>
      </c>
      <c r="E3" s="36" t="str">
        <f>HYPERLINK("https://youtu.be/Km4sV4ofoQs","channel 1")</f>
        <v>channel 1</v>
      </c>
    </row>
    <row r="4">
      <c r="A4" s="7"/>
      <c r="B4" s="10" t="s">
        <v>663</v>
      </c>
      <c r="C4" s="37" t="s">
        <v>90</v>
      </c>
      <c r="D4" s="10" t="s">
        <v>664</v>
      </c>
      <c r="E4" s="13" t="str">
        <f>HYPERLINK("https://youtu.be/1mqvf7dER8c","channel 2")</f>
        <v>channel 2</v>
      </c>
    </row>
    <row r="5">
      <c r="A5" s="7"/>
      <c r="B5" s="10" t="s">
        <v>665</v>
      </c>
      <c r="C5" s="12" t="s">
        <v>141</v>
      </c>
      <c r="D5" s="10" t="s">
        <v>335</v>
      </c>
      <c r="E5" s="36" t="str">
        <f>HYPERLINK("https://youtu.be/Km4sV4ofoQs?t=1032","channel 1")</f>
        <v>channel 1</v>
      </c>
    </row>
    <row r="6">
      <c r="A6" s="7"/>
      <c r="B6" s="10" t="s">
        <v>663</v>
      </c>
      <c r="C6" s="12" t="s">
        <v>47</v>
      </c>
      <c r="D6" s="10" t="s">
        <v>662</v>
      </c>
      <c r="E6" s="13" t="str">
        <f>HYPERLINK("https://youtu.be/1mqvf7dER8c?t=921","channel 2")</f>
        <v>channel 2</v>
      </c>
    </row>
    <row r="7">
      <c r="A7" s="7"/>
      <c r="B7" s="10" t="s">
        <v>665</v>
      </c>
      <c r="C7" s="12" t="s">
        <v>297</v>
      </c>
      <c r="D7" s="10" t="s">
        <v>664</v>
      </c>
      <c r="E7" s="36" t="str">
        <f>HYPERLINK("https://youtu.be/Km4sV4ofoQs?t=2000","channel 1")</f>
        <v>channel 1</v>
      </c>
    </row>
    <row r="8">
      <c r="A8" s="7"/>
      <c r="B8" s="10" t="s">
        <v>663</v>
      </c>
      <c r="C8" s="12" t="s">
        <v>179</v>
      </c>
      <c r="D8" s="10" t="s">
        <v>335</v>
      </c>
      <c r="E8" s="13" t="str">
        <f>HYPERLINK("https://youtu.be/1mqvf7dER8c?t=1902","channel 2")</f>
        <v>channel 2</v>
      </c>
    </row>
    <row r="9">
      <c r="A9" s="7"/>
      <c r="B9" s="10" t="s">
        <v>665</v>
      </c>
      <c r="C9" s="12" t="s">
        <v>103</v>
      </c>
      <c r="D9" s="10" t="s">
        <v>662</v>
      </c>
      <c r="E9" s="36" t="str">
        <f>HYPERLINK("https://youtu.be/Km4sV4ofoQs?t=2997","channel 1")</f>
        <v>channel 1</v>
      </c>
    </row>
    <row r="10">
      <c r="A10" s="7"/>
      <c r="B10" s="10" t="s">
        <v>664</v>
      </c>
      <c r="C10" s="12" t="s">
        <v>77</v>
      </c>
      <c r="D10" s="10" t="s">
        <v>335</v>
      </c>
      <c r="E10" s="13" t="str">
        <f>HYPERLINK("https://youtu.be/1mqvf7dER8c?t=2935","channel 2")</f>
        <v>channel 2</v>
      </c>
    </row>
    <row r="11">
      <c r="A11" s="7"/>
      <c r="B11" s="10" t="s">
        <v>665</v>
      </c>
      <c r="C11" s="12" t="s">
        <v>157</v>
      </c>
      <c r="D11" s="10" t="s">
        <v>663</v>
      </c>
      <c r="E11" s="36" t="str">
        <f>HYPERLINK("https://youtu.be/Km4sV4ofoQs?t=4209","channel 1")</f>
        <v>channel 1</v>
      </c>
    </row>
    <row r="12">
      <c r="A12" s="7"/>
      <c r="B12" s="10" t="s">
        <v>664</v>
      </c>
      <c r="C12" s="12" t="s">
        <v>99</v>
      </c>
      <c r="D12" s="10" t="s">
        <v>662</v>
      </c>
      <c r="E12" s="13" t="str">
        <f>HYPERLINK("https://youtu.be/1mqvf7dER8c?t=4057","channel 2")</f>
        <v>channel 2</v>
      </c>
    </row>
    <row r="13">
      <c r="A13" s="7"/>
      <c r="B13" s="10" t="s">
        <v>662</v>
      </c>
      <c r="C13" s="12" t="s">
        <v>74</v>
      </c>
      <c r="D13" s="10" t="s">
        <v>335</v>
      </c>
      <c r="E13" s="36" t="str">
        <f>HYPERLINK("https://youtu.be/Km4sV4ofoQs?t=5180","channel 1")</f>
        <v>channel 1</v>
      </c>
    </row>
    <row r="14">
      <c r="A14" s="7"/>
      <c r="B14" s="10" t="s">
        <v>664</v>
      </c>
      <c r="C14" s="12" t="s">
        <v>103</v>
      </c>
      <c r="D14" s="10" t="s">
        <v>663</v>
      </c>
      <c r="E14" s="13" t="str">
        <f>HYPERLINK("https://youtu.be/1mqvf7dER8c?t=5008","channel 2")</f>
        <v>channel 2</v>
      </c>
    </row>
    <row r="15">
      <c r="A15" s="7"/>
      <c r="B15" s="10" t="s">
        <v>335</v>
      </c>
      <c r="C15" s="12" t="s">
        <v>33</v>
      </c>
      <c r="D15" s="10" t="s">
        <v>665</v>
      </c>
      <c r="E15" s="36" t="str">
        <f>HYPERLINK("https://youtu.be/Km4sV4ofoQs?t=6170","channel 1")</f>
        <v>channel 1</v>
      </c>
    </row>
    <row r="16">
      <c r="A16" s="7"/>
      <c r="B16" s="10" t="s">
        <v>662</v>
      </c>
      <c r="C16" s="12" t="s">
        <v>671</v>
      </c>
      <c r="D16" s="10" t="s">
        <v>663</v>
      </c>
      <c r="E16" s="13" t="str">
        <f>HYPERLINK("https://youtu.be/1mqvf7dER8c?t=6035","channel 2")</f>
        <v>channel 2</v>
      </c>
    </row>
    <row r="17">
      <c r="A17" s="7"/>
      <c r="B17" s="10" t="s">
        <v>664</v>
      </c>
      <c r="C17" s="12" t="s">
        <v>117</v>
      </c>
      <c r="D17" s="10" t="s">
        <v>665</v>
      </c>
      <c r="E17" s="36" t="str">
        <f>HYPERLINK("https://youtu.be/Km4sV4ofoQs?t=7164","channel 1")</f>
        <v>channel 1</v>
      </c>
    </row>
    <row r="18">
      <c r="A18" s="7"/>
      <c r="B18" s="10" t="s">
        <v>335</v>
      </c>
      <c r="C18" s="12" t="s">
        <v>117</v>
      </c>
      <c r="D18" s="10" t="s">
        <v>663</v>
      </c>
      <c r="E18" s="13" t="str">
        <f>HYPERLINK("https://youtu.be/1mqvf7dER8c?t=7054","channel 2")</f>
        <v>channel 2</v>
      </c>
    </row>
    <row r="19">
      <c r="A19" s="7"/>
      <c r="B19" s="10" t="s">
        <v>662</v>
      </c>
      <c r="C19" s="12" t="s">
        <v>74</v>
      </c>
      <c r="D19" s="10" t="s">
        <v>665</v>
      </c>
      <c r="E19" s="36" t="str">
        <f>HYPERLINK("https://youtu.be/Km4sV4ofoQs?t=8099","channel 1")</f>
        <v>channel 1</v>
      </c>
    </row>
    <row r="20">
      <c r="A20" s="7"/>
      <c r="B20" s="10" t="s">
        <v>335</v>
      </c>
      <c r="C20" s="12" t="s">
        <v>577</v>
      </c>
      <c r="D20" s="10" t="s">
        <v>664</v>
      </c>
      <c r="E20" s="13" t="str">
        <f>HYPERLINK("https://youtu.be/1mqvf7dER8c?t=8029","channel 2")</f>
        <v>channel 2</v>
      </c>
    </row>
    <row r="21">
      <c r="A21" s="7"/>
      <c r="B21" s="10" t="s">
        <v>663</v>
      </c>
      <c r="C21" s="12" t="s">
        <v>296</v>
      </c>
      <c r="D21" s="10" t="s">
        <v>665</v>
      </c>
      <c r="E21" s="36" t="str">
        <f>HYPERLINK("https://youtu.be/Km4sV4ofoQs?t=9031","channel 1")</f>
        <v>channel 1</v>
      </c>
    </row>
    <row r="22">
      <c r="A22" s="7"/>
      <c r="B22" s="10" t="s">
        <v>662</v>
      </c>
      <c r="C22" s="12" t="s">
        <v>77</v>
      </c>
      <c r="D22" s="10" t="s">
        <v>664</v>
      </c>
      <c r="E22" s="13" t="str">
        <f>HYPERLINK("https://youtu.be/1mqvf7dER8c?t=8961","channel 2")</f>
        <v>channel 2</v>
      </c>
    </row>
    <row r="23">
      <c r="A23" s="7"/>
      <c r="B23" s="2" t="s">
        <v>676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487</v>
      </c>
      <c r="C25" s="12" t="s">
        <v>237</v>
      </c>
      <c r="D25" s="10" t="s">
        <v>351</v>
      </c>
      <c r="E25" s="36" t="str">
        <f>HYPERLINK("https://youtu.be/OR-VANc3wFU","channel 1")</f>
        <v>channel 1</v>
      </c>
    </row>
    <row r="26">
      <c r="A26" s="7"/>
      <c r="B26" s="10" t="s">
        <v>677</v>
      </c>
      <c r="C26" s="12" t="s">
        <v>219</v>
      </c>
      <c r="D26" s="10" t="s">
        <v>678</v>
      </c>
      <c r="E26" s="13" t="str">
        <f>HYPERLINK("https://youtu.be/_fqKY5aZj-A","channel 2")</f>
        <v>channel 2</v>
      </c>
    </row>
    <row r="27">
      <c r="A27" s="7"/>
      <c r="B27" s="10" t="s">
        <v>679</v>
      </c>
      <c r="C27" s="12" t="s">
        <v>277</v>
      </c>
      <c r="D27" s="10" t="s">
        <v>487</v>
      </c>
      <c r="E27" s="36" t="str">
        <f>HYPERLINK("https://youtu.be/OR-VANc3wFU?t=1209","channel 1")</f>
        <v>channel 1</v>
      </c>
    </row>
    <row r="28">
      <c r="A28" s="7"/>
      <c r="B28" s="10" t="s">
        <v>677</v>
      </c>
      <c r="C28" s="12" t="s">
        <v>141</v>
      </c>
      <c r="D28" s="10" t="s">
        <v>351</v>
      </c>
      <c r="E28" s="13" t="str">
        <f>HYPERLINK("https://youtu.be/_fqKY5aZj-A?t=1173","channel 2")</f>
        <v>channel 2</v>
      </c>
    </row>
    <row r="29">
      <c r="A29" s="7"/>
      <c r="B29" s="10" t="s">
        <v>679</v>
      </c>
      <c r="C29" s="12" t="s">
        <v>397</v>
      </c>
      <c r="D29" s="10" t="s">
        <v>678</v>
      </c>
      <c r="E29" s="36" t="str">
        <f>HYPERLINK("https://youtu.be/OR-VANc3wFU?t=2191","channel 1")</f>
        <v>channel 1</v>
      </c>
    </row>
    <row r="30">
      <c r="A30" s="7"/>
      <c r="B30" s="10" t="s">
        <v>677</v>
      </c>
      <c r="C30" s="12" t="s">
        <v>596</v>
      </c>
      <c r="D30" s="10" t="s">
        <v>487</v>
      </c>
      <c r="E30" s="13" t="str">
        <f>HYPERLINK("https://youtu.be/_fqKY5aZj-A?t=2190","channel 2")</f>
        <v>channel 2</v>
      </c>
    </row>
    <row r="31">
      <c r="A31" s="7"/>
      <c r="B31" s="10" t="s">
        <v>679</v>
      </c>
      <c r="C31" s="12" t="s">
        <v>214</v>
      </c>
      <c r="D31" s="10" t="s">
        <v>351</v>
      </c>
      <c r="E31" s="36" t="str">
        <f>HYPERLINK("https://youtu.be/OR-VANc3wFU?t=3117","channel 1")</f>
        <v>channel 1</v>
      </c>
    </row>
    <row r="32">
      <c r="A32" s="7"/>
      <c r="B32" s="10" t="s">
        <v>678</v>
      </c>
      <c r="C32" s="12" t="s">
        <v>683</v>
      </c>
      <c r="D32" s="10" t="s">
        <v>487</v>
      </c>
      <c r="E32" s="13" t="str">
        <f>HYPERLINK("https://youtu.be/_fqKY5aZj-A?t=3187","channel 2")</f>
        <v>channel 2</v>
      </c>
    </row>
    <row r="33">
      <c r="A33" s="7"/>
      <c r="B33" s="10" t="s">
        <v>679</v>
      </c>
      <c r="C33" s="12" t="s">
        <v>109</v>
      </c>
      <c r="D33" s="10" t="s">
        <v>677</v>
      </c>
      <c r="E33" s="36" t="str">
        <f>HYPERLINK("https://youtu.be/OR-VANc3wFU?t=4075","channel 1")</f>
        <v>channel 1</v>
      </c>
    </row>
    <row r="34">
      <c r="A34" s="7"/>
      <c r="B34" s="10" t="s">
        <v>678</v>
      </c>
      <c r="C34" s="12" t="s">
        <v>132</v>
      </c>
      <c r="D34" s="10" t="s">
        <v>351</v>
      </c>
      <c r="E34" s="13" t="str">
        <f>HYPERLINK("https://youtu.be/_fqKY5aZj-A?t=4139","channel 2")</f>
        <v>channel 2</v>
      </c>
    </row>
    <row r="35">
      <c r="A35" s="7"/>
      <c r="B35" s="10" t="s">
        <v>351</v>
      </c>
      <c r="C35" s="12" t="s">
        <v>61</v>
      </c>
      <c r="D35" s="10" t="s">
        <v>487</v>
      </c>
      <c r="E35" s="36" t="str">
        <f>HYPERLINK("https://youtu.be/OR-VANc3wFU?t=5032","channel 1")</f>
        <v>channel 1</v>
      </c>
    </row>
    <row r="36">
      <c r="A36" s="7"/>
      <c r="B36" s="10" t="s">
        <v>678</v>
      </c>
      <c r="C36" s="12" t="s">
        <v>406</v>
      </c>
      <c r="D36" s="10" t="s">
        <v>677</v>
      </c>
      <c r="E36" s="13" t="str">
        <f>HYPERLINK("https://youtu.be/_fqKY5aZj-A?t=5035","channel 2")</f>
        <v>channel 2</v>
      </c>
    </row>
    <row r="37">
      <c r="A37" s="7"/>
      <c r="B37" s="10" t="s">
        <v>487</v>
      </c>
      <c r="C37" s="12" t="s">
        <v>691</v>
      </c>
      <c r="D37" s="10" t="s">
        <v>679</v>
      </c>
      <c r="E37" s="36" t="str">
        <f>HYPERLINK("https://youtu.be/OR-VANc3wFU?t=6100","channel 1")</f>
        <v>channel 1</v>
      </c>
    </row>
    <row r="38">
      <c r="A38" s="7"/>
      <c r="B38" s="10" t="s">
        <v>351</v>
      </c>
      <c r="C38" s="12" t="s">
        <v>570</v>
      </c>
      <c r="D38" s="10" t="s">
        <v>677</v>
      </c>
      <c r="E38" s="13" t="str">
        <f>HYPERLINK("https://youtu.be/_fqKY5aZj-A?t=6083","channel 2")</f>
        <v>channel 2</v>
      </c>
    </row>
    <row r="39">
      <c r="A39" s="7"/>
      <c r="B39" s="10" t="s">
        <v>678</v>
      </c>
      <c r="C39" s="18" t="s">
        <v>692</v>
      </c>
      <c r="D39" s="10" t="s">
        <v>679</v>
      </c>
      <c r="E39" s="36" t="str">
        <f>HYPERLINK("https://youtu.be/OR-VANc3wFU?t=7098","channel 1")</f>
        <v>channel 1</v>
      </c>
    </row>
    <row r="40">
      <c r="A40" s="7"/>
      <c r="B40" s="10" t="s">
        <v>487</v>
      </c>
      <c r="C40" s="12" t="s">
        <v>278</v>
      </c>
      <c r="D40" s="10" t="s">
        <v>677</v>
      </c>
      <c r="E40" s="13" t="str">
        <f>HYPERLINK("https://youtu.be/_fqKY5aZj-A?t=7087","channel 2")</f>
        <v>channel 2</v>
      </c>
    </row>
    <row r="41">
      <c r="A41" s="7"/>
      <c r="B41" s="10" t="s">
        <v>351</v>
      </c>
      <c r="C41" s="12" t="s">
        <v>82</v>
      </c>
      <c r="D41" s="10" t="s">
        <v>679</v>
      </c>
      <c r="E41" s="36" t="str">
        <f>HYPERLINK("https://youtu.be/OR-VANc3wFU?t=8091","channel 1")</f>
        <v>channel 1</v>
      </c>
    </row>
    <row r="42">
      <c r="A42" s="7"/>
      <c r="B42" s="10" t="s">
        <v>487</v>
      </c>
      <c r="C42" s="12" t="s">
        <v>232</v>
      </c>
      <c r="D42" s="10" t="s">
        <v>678</v>
      </c>
      <c r="E42" s="13" t="str">
        <f>HYPERLINK("https://youtu.be/_fqKY5aZj-A?t=8041","channel 2")</f>
        <v>channel 2</v>
      </c>
    </row>
    <row r="43">
      <c r="A43" s="7"/>
      <c r="B43" s="10" t="s">
        <v>677</v>
      </c>
      <c r="C43" s="12" t="s">
        <v>10</v>
      </c>
      <c r="D43" s="10" t="s">
        <v>679</v>
      </c>
      <c r="E43" s="36" t="str">
        <f>HYPERLINK("https://youtu.be/OR-VANc3wFU?t=8959","channel 1")</f>
        <v>channel 1</v>
      </c>
    </row>
    <row r="44">
      <c r="A44" s="7"/>
      <c r="B44" s="10" t="s">
        <v>351</v>
      </c>
      <c r="C44" s="12" t="s">
        <v>671</v>
      </c>
      <c r="D44" s="10" t="s">
        <v>678</v>
      </c>
      <c r="E44" s="13" t="str">
        <f>HYPERLINK("https://youtu.be/_fqKY5aZj-A?t=8993","channel 2")</f>
        <v>channel 2</v>
      </c>
    </row>
    <row r="45">
      <c r="A45" s="7"/>
      <c r="B45" s="2" t="s">
        <v>112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695</v>
      </c>
      <c r="C47" s="12" t="s">
        <v>56</v>
      </c>
      <c r="D47" s="10" t="s">
        <v>696</v>
      </c>
      <c r="E47" s="36" t="str">
        <f>HYPERLINK("https://youtu.be/Ji13Wz9Uk8I","channel 1")</f>
        <v>channel 1</v>
      </c>
    </row>
    <row r="48">
      <c r="A48" s="7"/>
      <c r="B48" s="10" t="s">
        <v>697</v>
      </c>
      <c r="C48" s="12" t="s">
        <v>38</v>
      </c>
      <c r="D48" s="10" t="s">
        <v>217</v>
      </c>
      <c r="E48" s="13" t="str">
        <f>HYPERLINK("https://youtu.be/05rrnnKgmak","channel 2")</f>
        <v>channel 2</v>
      </c>
    </row>
    <row r="49">
      <c r="A49" s="7"/>
      <c r="B49" s="10" t="s">
        <v>587</v>
      </c>
      <c r="C49" s="12" t="s">
        <v>470</v>
      </c>
      <c r="D49" s="10" t="s">
        <v>695</v>
      </c>
      <c r="E49" s="36" t="str">
        <f>HYPERLINK("https://youtu.be/Ji13Wz9Uk8I?t=1003","channel 1")</f>
        <v>channel 1</v>
      </c>
    </row>
    <row r="50">
      <c r="A50" s="7"/>
      <c r="B50" s="10" t="s">
        <v>697</v>
      </c>
      <c r="C50" s="12" t="s">
        <v>698</v>
      </c>
      <c r="D50" s="10" t="s">
        <v>696</v>
      </c>
      <c r="E50" s="13" t="str">
        <f>HYPERLINK("https://youtu.be/05rrnnKgmak?t=900","channel 2")</f>
        <v>channel 2</v>
      </c>
    </row>
    <row r="51">
      <c r="A51" s="7"/>
      <c r="B51" s="10" t="s">
        <v>587</v>
      </c>
      <c r="C51" s="12" t="s">
        <v>701</v>
      </c>
      <c r="D51" s="10" t="s">
        <v>217</v>
      </c>
      <c r="E51" s="36" t="str">
        <f>HYPERLINK("https://youtu.be/Ji13Wz9Uk8I?t=1950","channel 1")</f>
        <v>channel 1</v>
      </c>
    </row>
    <row r="52">
      <c r="A52" s="7"/>
      <c r="B52" s="10" t="s">
        <v>697</v>
      </c>
      <c r="C52" s="12" t="s">
        <v>24</v>
      </c>
      <c r="D52" s="10" t="s">
        <v>695</v>
      </c>
      <c r="E52" s="13" t="str">
        <f>HYPERLINK("https://youtu.be/05rrnnKgmak?t=1849","channel 2")</f>
        <v>channel 2</v>
      </c>
    </row>
    <row r="53">
      <c r="A53" s="7"/>
      <c r="B53" s="10" t="s">
        <v>587</v>
      </c>
      <c r="C53" s="12" t="s">
        <v>211</v>
      </c>
      <c r="D53" s="10" t="s">
        <v>696</v>
      </c>
      <c r="E53" s="36" t="str">
        <f>HYPERLINK("https://youtu.be/Ji13Wz9Uk8I?t=2955","channel 1")</f>
        <v>channel 1</v>
      </c>
    </row>
    <row r="54">
      <c r="A54" s="7"/>
      <c r="B54" s="10" t="s">
        <v>217</v>
      </c>
      <c r="C54" s="12" t="s">
        <v>57</v>
      </c>
      <c r="D54" s="10" t="s">
        <v>695</v>
      </c>
      <c r="E54" s="13" t="str">
        <f>HYPERLINK("https://youtu.be/05rrnnKgmak?t=2897","channel 2")</f>
        <v>channel 2</v>
      </c>
    </row>
    <row r="55">
      <c r="A55" s="7"/>
      <c r="B55" s="10" t="s">
        <v>587</v>
      </c>
      <c r="C55" s="12" t="s">
        <v>188</v>
      </c>
      <c r="D55" s="10" t="s">
        <v>697</v>
      </c>
      <c r="E55" s="36" t="str">
        <f>HYPERLINK("https://youtu.be/Ji13Wz9Uk8I?t=3862","channel 1")</f>
        <v>channel 1</v>
      </c>
    </row>
    <row r="56">
      <c r="A56" s="7"/>
      <c r="B56" s="10" t="s">
        <v>217</v>
      </c>
      <c r="C56" s="12" t="s">
        <v>138</v>
      </c>
      <c r="D56" s="10" t="s">
        <v>696</v>
      </c>
      <c r="E56" s="13" t="str">
        <f>HYPERLINK("https://youtu.be/05rrnnKgmak?t=3802","channel 2")</f>
        <v>channel 2</v>
      </c>
    </row>
    <row r="57">
      <c r="A57" s="7"/>
      <c r="B57" s="10" t="s">
        <v>696</v>
      </c>
      <c r="C57" s="12" t="s">
        <v>133</v>
      </c>
      <c r="D57" s="10" t="s">
        <v>695</v>
      </c>
      <c r="E57" s="36" t="str">
        <f>HYPERLINK("https://youtu.be/Ji13Wz9Uk8I?t=4704","channel 1")</f>
        <v>channel 1</v>
      </c>
    </row>
    <row r="58">
      <c r="A58" s="7"/>
      <c r="B58" s="10" t="s">
        <v>217</v>
      </c>
      <c r="C58" s="12" t="s">
        <v>44</v>
      </c>
      <c r="D58" s="10" t="s">
        <v>697</v>
      </c>
      <c r="E58" s="13" t="str">
        <f>HYPERLINK("https://youtu.be/05rrnnKgmak?t=4628","channel 2")</f>
        <v>channel 2</v>
      </c>
    </row>
    <row r="59">
      <c r="A59" s="7"/>
      <c r="B59" s="10" t="s">
        <v>695</v>
      </c>
      <c r="C59" s="12" t="s">
        <v>37</v>
      </c>
      <c r="D59" s="10" t="s">
        <v>587</v>
      </c>
      <c r="E59" s="36" t="str">
        <f>HYPERLINK("https://youtu.be/Ji13Wz9Uk8I?t=5244","channel 1")</f>
        <v>channel 1</v>
      </c>
    </row>
    <row r="60">
      <c r="A60" s="7"/>
      <c r="B60" s="10" t="s">
        <v>696</v>
      </c>
      <c r="C60" s="12" t="s">
        <v>143</v>
      </c>
      <c r="D60" s="10" t="s">
        <v>697</v>
      </c>
      <c r="E60" s="13" t="str">
        <f>HYPERLINK("https://youtu.be/05rrnnKgmak?t=5247","channel 2")</f>
        <v>channel 2</v>
      </c>
    </row>
    <row r="61">
      <c r="A61" s="7"/>
      <c r="B61" s="10" t="s">
        <v>217</v>
      </c>
      <c r="C61" s="12" t="s">
        <v>241</v>
      </c>
      <c r="D61" s="10" t="s">
        <v>587</v>
      </c>
      <c r="E61" s="36" t="str">
        <f>HYPERLINK("https://youtu.be/Ji13Wz9Uk8I?t=5956","channel 1")</f>
        <v>channel 1</v>
      </c>
    </row>
    <row r="62">
      <c r="A62" s="7"/>
      <c r="B62" s="10" t="s">
        <v>695</v>
      </c>
      <c r="C62" s="18" t="s">
        <v>145</v>
      </c>
      <c r="D62" s="10" t="s">
        <v>697</v>
      </c>
      <c r="E62" s="13" t="str">
        <f>HYPERLINK("https://youtu.be/05rrnnKgmak?t=5993","channel 2")</f>
        <v>channel 2</v>
      </c>
    </row>
    <row r="63">
      <c r="A63" s="7"/>
      <c r="B63" s="10" t="s">
        <v>696</v>
      </c>
      <c r="C63" s="12" t="s">
        <v>216</v>
      </c>
      <c r="D63" s="10" t="s">
        <v>587</v>
      </c>
      <c r="E63" s="36" t="str">
        <f>HYPERLINK("https://youtu.be/Ji13Wz9Uk8I?t=6665","channel 1")</f>
        <v>channel 1</v>
      </c>
    </row>
    <row r="64">
      <c r="A64" s="7"/>
      <c r="B64" s="10" t="s">
        <v>695</v>
      </c>
      <c r="C64" s="12" t="s">
        <v>707</v>
      </c>
      <c r="D64" s="10" t="s">
        <v>217</v>
      </c>
      <c r="E64" s="13" t="str">
        <f>HYPERLINK("https://youtu.be/05rrnnKgmak?t=6711","channel 2")</f>
        <v>channel 2</v>
      </c>
    </row>
    <row r="65">
      <c r="A65" s="7"/>
      <c r="B65" s="10" t="s">
        <v>697</v>
      </c>
      <c r="C65" s="12" t="s">
        <v>494</v>
      </c>
      <c r="D65" s="10" t="s">
        <v>587</v>
      </c>
      <c r="E65" s="36" t="str">
        <f>HYPERLINK("https://youtu.be/Ji13Wz9Uk8I?t=7396","channel 1")</f>
        <v>channel 1</v>
      </c>
    </row>
    <row r="66">
      <c r="A66" s="7"/>
      <c r="B66" s="10" t="s">
        <v>696</v>
      </c>
      <c r="C66" s="12" t="s">
        <v>530</v>
      </c>
      <c r="D66" s="10" t="s">
        <v>217</v>
      </c>
      <c r="E66" s="13" t="str">
        <f>HYPERLINK("https://youtu.be/05rrnnKgmak?t=7590","channel 2")</f>
        <v>channel 2</v>
      </c>
    </row>
    <row r="67">
      <c r="A67" s="7"/>
      <c r="B67" s="4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711</v>
      </c>
      <c r="C69" s="12" t="s">
        <v>10</v>
      </c>
      <c r="D69" s="10" t="s">
        <v>487</v>
      </c>
      <c r="E69" s="36" t="str">
        <f>HYPERLINK("https://youtu.be/SpK81sd9W_Q","channel 1")</f>
        <v>channel 1</v>
      </c>
    </row>
    <row r="70">
      <c r="A70" s="7"/>
      <c r="B70" s="10" t="s">
        <v>716</v>
      </c>
      <c r="C70" s="12" t="s">
        <v>156</v>
      </c>
      <c r="D70" s="10" t="s">
        <v>568</v>
      </c>
      <c r="E70" s="13" t="str">
        <f>HYPERLINK("https://youtu.be/nPrBZf-Qrfg","channel 2")</f>
        <v>channel 2</v>
      </c>
    </row>
    <row r="71">
      <c r="A71" s="7"/>
      <c r="B71" s="10" t="s">
        <v>719</v>
      </c>
      <c r="C71" s="12" t="s">
        <v>347</v>
      </c>
      <c r="D71" s="10" t="s">
        <v>711</v>
      </c>
      <c r="E71" s="36" t="str">
        <f>HYPERLINK("https://youtu.be/SpK81sd9W_Q?t=913","channel 1")</f>
        <v>channel 1</v>
      </c>
    </row>
    <row r="72">
      <c r="A72" s="7"/>
      <c r="B72" s="10" t="s">
        <v>716</v>
      </c>
      <c r="C72" s="12" t="s">
        <v>156</v>
      </c>
      <c r="D72" s="10" t="s">
        <v>487</v>
      </c>
      <c r="E72" s="13" t="str">
        <f>HYPERLINK("https://youtu.be/nPrBZf-Qrfg?t=1009","channel 2")</f>
        <v>channel 2</v>
      </c>
    </row>
    <row r="73">
      <c r="A73" s="7"/>
      <c r="B73" s="10" t="s">
        <v>719</v>
      </c>
      <c r="C73" s="12" t="s">
        <v>522</v>
      </c>
      <c r="D73" s="10" t="s">
        <v>568</v>
      </c>
      <c r="E73" s="36" t="str">
        <f>HYPERLINK("https://youtu.be/SpK81sd9W_Q?t=1775","channel 1")</f>
        <v>channel 1</v>
      </c>
    </row>
    <row r="74">
      <c r="A74" s="7"/>
      <c r="B74" s="10" t="s">
        <v>716</v>
      </c>
      <c r="C74" s="12" t="s">
        <v>101</v>
      </c>
      <c r="D74" s="10" t="s">
        <v>711</v>
      </c>
      <c r="E74" s="13" t="str">
        <f>HYPERLINK("https://youtu.be/nPrBZf-Qrfg?t=1968","channel 2")</f>
        <v>channel 2</v>
      </c>
    </row>
    <row r="75">
      <c r="A75" s="7"/>
      <c r="B75" s="10" t="s">
        <v>719</v>
      </c>
      <c r="C75" s="12" t="s">
        <v>214</v>
      </c>
      <c r="D75" s="10" t="s">
        <v>487</v>
      </c>
      <c r="E75" s="36" t="str">
        <f>HYPERLINK("https://youtu.be/SpK81sd9W_Q?t=2740","channel 1")</f>
        <v>channel 1</v>
      </c>
    </row>
    <row r="76">
      <c r="A76" s="7"/>
      <c r="B76" s="10" t="s">
        <v>568</v>
      </c>
      <c r="C76" s="12" t="s">
        <v>20</v>
      </c>
      <c r="D76" s="10" t="s">
        <v>711</v>
      </c>
      <c r="E76" s="13" t="str">
        <f>HYPERLINK("https://youtu.be/nPrBZf-Qrfg?t=2895","channel 2")</f>
        <v>channel 2</v>
      </c>
    </row>
    <row r="77">
      <c r="A77" s="7"/>
      <c r="B77" s="10" t="s">
        <v>719</v>
      </c>
      <c r="C77" s="12" t="s">
        <v>77</v>
      </c>
      <c r="D77" s="10" t="s">
        <v>716</v>
      </c>
      <c r="E77" s="36" t="str">
        <f>HYPERLINK("https://youtu.be/SpK81sd9W_Q?t=3660","channel 1")</f>
        <v>channel 1</v>
      </c>
    </row>
    <row r="78">
      <c r="A78" s="7"/>
      <c r="B78" s="10" t="s">
        <v>568</v>
      </c>
      <c r="C78" s="12" t="s">
        <v>460</v>
      </c>
      <c r="D78" s="10" t="s">
        <v>487</v>
      </c>
      <c r="E78" s="13" t="str">
        <f>HYPERLINK("https://youtu.be/nPrBZf-Qrfg?t=3833","channel 2")</f>
        <v>channel 2</v>
      </c>
    </row>
    <row r="79">
      <c r="A79" s="7"/>
      <c r="B79" s="10" t="s">
        <v>487</v>
      </c>
      <c r="C79" s="12" t="s">
        <v>692</v>
      </c>
      <c r="D79" s="10" t="s">
        <v>711</v>
      </c>
      <c r="E79" s="36" t="str">
        <f>HYPERLINK("https://youtu.be/SpK81sd9W_Q?t=4549","channel 1")</f>
        <v>channel 1</v>
      </c>
    </row>
    <row r="80">
      <c r="A80" s="7"/>
      <c r="B80" s="10" t="s">
        <v>568</v>
      </c>
      <c r="C80" s="12" t="s">
        <v>54</v>
      </c>
      <c r="D80" s="10" t="s">
        <v>716</v>
      </c>
      <c r="E80" s="13" t="str">
        <f>HYPERLINK("https://youtu.be/nPrBZf-Qrfg?t=4793","channel 2")</f>
        <v>channel 2</v>
      </c>
    </row>
    <row r="81">
      <c r="A81" s="7"/>
      <c r="B81" s="10" t="s">
        <v>711</v>
      </c>
      <c r="C81" s="12" t="s">
        <v>572</v>
      </c>
      <c r="D81" s="10" t="s">
        <v>719</v>
      </c>
      <c r="E81" s="36" t="str">
        <f>HYPERLINK("https://youtu.be/SpK81sd9W_Q?t=5575","channel 1")</f>
        <v>channel 1</v>
      </c>
    </row>
    <row r="82">
      <c r="A82" s="7"/>
      <c r="B82" s="10" t="s">
        <v>487</v>
      </c>
      <c r="C82" s="12" t="s">
        <v>206</v>
      </c>
      <c r="D82" s="10" t="s">
        <v>716</v>
      </c>
      <c r="E82" s="13" t="str">
        <f>HYPERLINK("https://youtu.be/nPrBZf-Qrfg?t=5697","channel 2")</f>
        <v>channel 2</v>
      </c>
    </row>
    <row r="83">
      <c r="A83" s="7"/>
      <c r="B83" s="10" t="s">
        <v>568</v>
      </c>
      <c r="C83" s="12" t="s">
        <v>726</v>
      </c>
      <c r="D83" s="10" t="s">
        <v>719</v>
      </c>
      <c r="E83" s="36" t="str">
        <f>HYPERLINK("https://youtu.be/SpK81sd9W_Q?t=6436","channel 1")</f>
        <v>channel 1</v>
      </c>
    </row>
    <row r="84">
      <c r="A84" s="7"/>
      <c r="B84" s="10" t="s">
        <v>711</v>
      </c>
      <c r="C84" s="12" t="s">
        <v>219</v>
      </c>
      <c r="D84" s="10" t="s">
        <v>716</v>
      </c>
      <c r="E84" s="13" t="str">
        <f>HYPERLINK("https://youtu.be/nPrBZf-Qrfg?t=6646","channel 2")</f>
        <v>channel 2</v>
      </c>
    </row>
    <row r="85">
      <c r="A85" s="7"/>
      <c r="B85" s="10" t="s">
        <v>487</v>
      </c>
      <c r="C85" s="12" t="s">
        <v>110</v>
      </c>
      <c r="D85" s="10" t="s">
        <v>719</v>
      </c>
      <c r="E85" s="36" t="str">
        <f>HYPERLINK("https://youtu.be/SpK81sd9W_Q?t=7391","channel 1")</f>
        <v>channel 1</v>
      </c>
    </row>
    <row r="86">
      <c r="A86" s="7"/>
      <c r="B86" s="10" t="s">
        <v>711</v>
      </c>
      <c r="C86" s="12" t="s">
        <v>255</v>
      </c>
      <c r="D86" s="10" t="s">
        <v>568</v>
      </c>
      <c r="E86" s="13" t="str">
        <f>HYPERLINK("https://youtu.be/nPrBZf-Qrfg?t=7554","channel 2")</f>
        <v>channel 2</v>
      </c>
    </row>
    <row r="87">
      <c r="A87" s="7"/>
      <c r="B87" s="10" t="s">
        <v>716</v>
      </c>
      <c r="C87" s="12" t="s">
        <v>34</v>
      </c>
      <c r="D87" s="10" t="s">
        <v>719</v>
      </c>
      <c r="E87" s="36" t="str">
        <f>HYPERLINK("https://youtu.be/SpK81sd9W_Q?t=8355","channel 1")</f>
        <v>channel 1</v>
      </c>
    </row>
    <row r="88">
      <c r="A88" s="7"/>
      <c r="B88" s="10" t="s">
        <v>487</v>
      </c>
      <c r="C88" s="12" t="s">
        <v>56</v>
      </c>
      <c r="D88" s="10" t="s">
        <v>568</v>
      </c>
      <c r="E88" s="13" t="str">
        <f>HYPERLINK("https://youtu.be/nPrBZf-Qrfg?t=8476","channel 2")</f>
        <v>channel 2</v>
      </c>
    </row>
    <row r="89">
      <c r="A89" s="7"/>
      <c r="B89" s="2" t="s">
        <v>425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63</v>
      </c>
      <c r="C91" s="12" t="s">
        <v>216</v>
      </c>
      <c r="D91" s="10" t="s">
        <v>62</v>
      </c>
      <c r="E91" s="36" t="str">
        <f>HYPERLINK("https://youtu.be/sgeG1glm_qQ","channel 1")</f>
        <v>channel 1</v>
      </c>
    </row>
    <row r="92">
      <c r="A92" s="7"/>
      <c r="B92" s="10" t="s">
        <v>733</v>
      </c>
      <c r="C92" s="12" t="s">
        <v>32</v>
      </c>
      <c r="D92" s="10" t="s">
        <v>734</v>
      </c>
      <c r="E92" s="13" t="str">
        <f>HYPERLINK("https://youtu.be/uTSUE0Or40A","channel 2")</f>
        <v>channel 2</v>
      </c>
    </row>
    <row r="93">
      <c r="A93" s="7"/>
      <c r="B93" s="10" t="s">
        <v>735</v>
      </c>
      <c r="C93" s="12" t="s">
        <v>736</v>
      </c>
      <c r="D93" s="10" t="s">
        <v>63</v>
      </c>
      <c r="E93" s="36" t="str">
        <f>HYPERLINK("https://youtu.be/sgeG1glm_qQ?t=549","channel 1")</f>
        <v>channel 1</v>
      </c>
    </row>
    <row r="94">
      <c r="A94" s="7"/>
      <c r="B94" s="10" t="s">
        <v>733</v>
      </c>
      <c r="C94" s="12" t="s">
        <v>74</v>
      </c>
      <c r="D94" s="10" t="s">
        <v>62</v>
      </c>
      <c r="E94" s="13" t="str">
        <f>HYPERLINK("https://youtu.be/uTSUE0Or40A?t=1123","channel 2")</f>
        <v>channel 2</v>
      </c>
    </row>
    <row r="95">
      <c r="A95" s="7"/>
      <c r="B95" s="10" t="s">
        <v>735</v>
      </c>
      <c r="C95" s="46" t="s">
        <v>103</v>
      </c>
      <c r="D95" s="10" t="s">
        <v>734</v>
      </c>
      <c r="E95" s="36" t="str">
        <f>HYPERLINK("https://youtu.be/sgeG1glm_qQ?t=1483","channel 1")</f>
        <v>channel 1</v>
      </c>
    </row>
    <row r="96">
      <c r="A96" s="7"/>
      <c r="B96" s="10" t="s">
        <v>733</v>
      </c>
      <c r="C96" s="12" t="s">
        <v>216</v>
      </c>
      <c r="D96" s="10" t="s">
        <v>63</v>
      </c>
      <c r="E96" s="13" t="str">
        <f>HYPERLINK("https://youtu.be/uTSUE0Or40A?t=1970","channel 2")</f>
        <v>channel 2</v>
      </c>
    </row>
    <row r="97">
      <c r="A97" s="7"/>
      <c r="B97" s="10" t="s">
        <v>735</v>
      </c>
      <c r="C97" s="12" t="s">
        <v>59</v>
      </c>
      <c r="D97" s="10" t="s">
        <v>62</v>
      </c>
      <c r="E97" s="36" t="str">
        <f>HYPERLINK("https://youtu.be/sgeG1glm_qQ?t=2407","channel 1")</f>
        <v>channel 1</v>
      </c>
    </row>
    <row r="98">
      <c r="A98" s="7"/>
      <c r="B98" s="10" t="s">
        <v>734</v>
      </c>
      <c r="C98" s="12" t="s">
        <v>228</v>
      </c>
      <c r="D98" s="10" t="s">
        <v>63</v>
      </c>
      <c r="E98" s="13" t="str">
        <f>HYPERLINK("https://youtu.be/uTSUE0Or40A?t=2960","channel 2")</f>
        <v>channel 2</v>
      </c>
    </row>
    <row r="99">
      <c r="A99" s="7"/>
      <c r="B99" s="10" t="s">
        <v>735</v>
      </c>
      <c r="C99" s="12" t="s">
        <v>32</v>
      </c>
      <c r="D99" s="10" t="s">
        <v>733</v>
      </c>
      <c r="E99" s="36" t="str">
        <f>HYPERLINK("https://youtu.be/sgeG1glm_qQ?t=3287","channel 1")</f>
        <v>channel 1</v>
      </c>
    </row>
    <row r="100">
      <c r="A100" s="7"/>
      <c r="B100" s="10" t="s">
        <v>734</v>
      </c>
      <c r="C100" s="12" t="s">
        <v>285</v>
      </c>
      <c r="D100" s="10" t="s">
        <v>62</v>
      </c>
      <c r="E100" s="13" t="str">
        <f>HYPERLINK("https://youtu.be/uTSUE0Or40A?t=3866","channel 2")</f>
        <v>channel 2</v>
      </c>
    </row>
    <row r="101">
      <c r="A101" s="7"/>
      <c r="B101" s="10" t="s">
        <v>62</v>
      </c>
      <c r="C101" s="12" t="s">
        <v>193</v>
      </c>
      <c r="D101" s="10" t="s">
        <v>63</v>
      </c>
      <c r="E101" s="36" t="str">
        <f>HYPERLINK("https://youtu.be/sgeG1glm_qQ?t=4254","channel 1")</f>
        <v>channel 1</v>
      </c>
    </row>
    <row r="102">
      <c r="A102" s="7"/>
      <c r="B102" s="10" t="s">
        <v>734</v>
      </c>
      <c r="C102" s="12" t="s">
        <v>49</v>
      </c>
      <c r="D102" s="10" t="s">
        <v>733</v>
      </c>
      <c r="E102" s="13" t="str">
        <f>HYPERLINK("https://youtu.be/uTSUE0Or40A?t=4786","channel 2")</f>
        <v>channel 2</v>
      </c>
    </row>
    <row r="103">
      <c r="A103" s="7"/>
      <c r="B103" s="10" t="s">
        <v>63</v>
      </c>
      <c r="C103" s="12" t="s">
        <v>89</v>
      </c>
      <c r="D103" s="10" t="s">
        <v>735</v>
      </c>
      <c r="E103" s="36" t="str">
        <f>HYPERLINK("https://youtu.be/sgeG1glm_qQ?t=5126","channel 1")</f>
        <v>channel 1</v>
      </c>
    </row>
    <row r="104">
      <c r="A104" s="7"/>
      <c r="B104" s="10" t="s">
        <v>62</v>
      </c>
      <c r="C104" s="12" t="s">
        <v>337</v>
      </c>
      <c r="D104" s="10" t="s">
        <v>733</v>
      </c>
      <c r="E104" s="13" t="str">
        <f>HYPERLINK("https://youtu.be/uTSUE0Or40A?t=5666","channel 2")</f>
        <v>channel 2</v>
      </c>
    </row>
    <row r="105">
      <c r="A105" s="7"/>
      <c r="B105" s="10" t="s">
        <v>734</v>
      </c>
      <c r="C105" s="12" t="s">
        <v>35</v>
      </c>
      <c r="D105" s="10" t="s">
        <v>735</v>
      </c>
      <c r="E105" s="36" t="str">
        <f>HYPERLINK("https://youtu.be/sgeG1glm_qQ?t=6028","channel 1")</f>
        <v>channel 1</v>
      </c>
    </row>
    <row r="106">
      <c r="A106" s="7"/>
      <c r="B106" s="10" t="s">
        <v>63</v>
      </c>
      <c r="C106" s="12" t="s">
        <v>44</v>
      </c>
      <c r="D106" s="10" t="s">
        <v>733</v>
      </c>
      <c r="E106" s="13" t="str">
        <f>HYPERLINK("https://youtu.be/uTSUE0Or40A?t=6570","channel 2")</f>
        <v>channel 2</v>
      </c>
    </row>
    <row r="107">
      <c r="A107" s="7"/>
      <c r="B107" s="10" t="s">
        <v>62</v>
      </c>
      <c r="C107" s="12" t="s">
        <v>77</v>
      </c>
      <c r="D107" s="10" t="s">
        <v>735</v>
      </c>
      <c r="E107" s="36" t="str">
        <f>HYPERLINK("https://youtu.be/sgeG1glm_qQ?t=6969","channel 1")</f>
        <v>channel 1</v>
      </c>
    </row>
    <row r="108">
      <c r="A108" s="7"/>
      <c r="B108" s="10" t="s">
        <v>63</v>
      </c>
      <c r="C108" s="12" t="s">
        <v>93</v>
      </c>
      <c r="D108" s="10" t="s">
        <v>734</v>
      </c>
      <c r="E108" s="13" t="str">
        <f>HYPERLINK("https://youtu.be/uTSUE0Or40A?t=7514","channel 2")</f>
        <v>channel 2</v>
      </c>
    </row>
    <row r="109">
      <c r="A109" s="7"/>
      <c r="B109" s="10" t="s">
        <v>733</v>
      </c>
      <c r="C109" s="12" t="s">
        <v>145</v>
      </c>
      <c r="D109" s="10" t="s">
        <v>735</v>
      </c>
      <c r="E109" s="36" t="str">
        <f>HYPERLINK("https://youtu.be/sgeG1glm_qQ?t=7815","channel 1")</f>
        <v>channel 1</v>
      </c>
    </row>
    <row r="110">
      <c r="A110" s="7"/>
      <c r="B110" s="10" t="s">
        <v>62</v>
      </c>
      <c r="C110" s="12" t="s">
        <v>44</v>
      </c>
      <c r="D110" s="10" t="s">
        <v>734</v>
      </c>
      <c r="E110" s="13" t="str">
        <f>HYPERLINK("https://youtu.be/uTSUE0Or40A?t=8414","channel 2")</f>
        <v>channel 2</v>
      </c>
    </row>
    <row r="111">
      <c r="A111" s="7"/>
      <c r="B111" s="2" t="s">
        <v>320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47" t="s">
        <v>752</v>
      </c>
      <c r="C113" s="12" t="s">
        <v>148</v>
      </c>
      <c r="D113" s="10" t="s">
        <v>753</v>
      </c>
      <c r="E113" s="36" t="str">
        <f>HYPERLINK("https://youtu.be/YEpw6H35vRo","channel 1")</f>
        <v>channel 1</v>
      </c>
    </row>
    <row r="114">
      <c r="A114" s="7"/>
      <c r="B114" s="10" t="s">
        <v>755</v>
      </c>
      <c r="C114" s="12" t="s">
        <v>47</v>
      </c>
      <c r="D114" s="10" t="s">
        <v>756</v>
      </c>
      <c r="E114" s="13" t="str">
        <f>HYPERLINK("https://youtu.be/Z55lRaAuYrM","channel 2")</f>
        <v>channel 2</v>
      </c>
    </row>
    <row r="115">
      <c r="A115" s="7"/>
      <c r="B115" s="10" t="s">
        <v>757</v>
      </c>
      <c r="C115" s="12" t="s">
        <v>117</v>
      </c>
      <c r="D115" s="10" t="s">
        <v>752</v>
      </c>
      <c r="E115" s="36" t="str">
        <f>HYPERLINK("https://youtu.be/YEpw6H35vRo?t=841","channel 1")</f>
        <v>channel 1</v>
      </c>
    </row>
    <row r="116">
      <c r="A116" s="7"/>
      <c r="B116" s="10" t="s">
        <v>755</v>
      </c>
      <c r="C116" s="12" t="s">
        <v>156</v>
      </c>
      <c r="D116" s="10" t="s">
        <v>753</v>
      </c>
      <c r="E116" s="13" t="str">
        <f>HYPERLINK("https://youtu.be/Z55lRaAuYrM?t=1058","channel 2")</f>
        <v>channel 2</v>
      </c>
    </row>
    <row r="117">
      <c r="A117" s="7"/>
      <c r="B117" s="10" t="s">
        <v>757</v>
      </c>
      <c r="C117" s="12" t="s">
        <v>49</v>
      </c>
      <c r="D117" s="10" t="s">
        <v>756</v>
      </c>
      <c r="E117" s="36" t="str">
        <f>HYPERLINK("https://youtu.be/YEpw6H35vRo?t=1814","channel 1")</f>
        <v>channel 1</v>
      </c>
    </row>
    <row r="118">
      <c r="A118" s="7"/>
      <c r="B118" s="10" t="s">
        <v>755</v>
      </c>
      <c r="C118" s="12" t="s">
        <v>24</v>
      </c>
      <c r="D118" s="10" t="s">
        <v>752</v>
      </c>
      <c r="E118" s="13" t="str">
        <f>HYPERLINK("https://youtu.be/Z55lRaAuYrM?t=1973","channel 2")</f>
        <v>channel 2</v>
      </c>
    </row>
    <row r="119">
      <c r="A119" s="7"/>
      <c r="B119" s="10" t="s">
        <v>757</v>
      </c>
      <c r="C119" s="12" t="s">
        <v>106</v>
      </c>
      <c r="D119" s="10" t="s">
        <v>753</v>
      </c>
      <c r="E119" s="36" t="str">
        <f>HYPERLINK("https://youtu.be/YEpw6H35vRo?t=2669","channel 1")</f>
        <v>channel 1</v>
      </c>
    </row>
    <row r="120">
      <c r="A120" s="7"/>
      <c r="B120" s="10" t="s">
        <v>756</v>
      </c>
      <c r="C120" s="12" t="s">
        <v>85</v>
      </c>
      <c r="D120" s="10" t="s">
        <v>752</v>
      </c>
      <c r="E120" s="13" t="str">
        <f>HYPERLINK("https://youtu.be/Z55lRaAuYrM?t=2870","channel 2")</f>
        <v>channel 2</v>
      </c>
    </row>
    <row r="121">
      <c r="A121" s="7"/>
      <c r="B121" s="10" t="s">
        <v>757</v>
      </c>
      <c r="C121" s="12" t="s">
        <v>143</v>
      </c>
      <c r="D121" s="10" t="s">
        <v>755</v>
      </c>
      <c r="E121" s="36" t="str">
        <f>HYPERLINK("https://youtu.be/YEpw6H35vRo?t=3602","channel 1")</f>
        <v>channel 1</v>
      </c>
    </row>
    <row r="122">
      <c r="A122" s="7"/>
      <c r="B122" s="10" t="s">
        <v>756</v>
      </c>
      <c r="C122" s="12" t="s">
        <v>24</v>
      </c>
      <c r="D122" s="10" t="s">
        <v>753</v>
      </c>
      <c r="E122" s="13" t="str">
        <f>HYPERLINK("https://youtu.be/Z55lRaAuYrM?t=3812","channel 2")</f>
        <v>channel 2</v>
      </c>
    </row>
    <row r="123">
      <c r="A123" s="7"/>
      <c r="B123" s="10" t="s">
        <v>753</v>
      </c>
      <c r="C123" s="12" t="s">
        <v>760</v>
      </c>
      <c r="D123" s="10" t="s">
        <v>752</v>
      </c>
      <c r="E123" s="36" t="str">
        <f>HYPERLINK("https://youtu.be/YEpw6H35vRo?t=4522","channel 1")</f>
        <v>channel 1</v>
      </c>
    </row>
    <row r="124">
      <c r="A124" s="7"/>
      <c r="B124" s="10" t="s">
        <v>756</v>
      </c>
      <c r="C124" s="12" t="s">
        <v>87</v>
      </c>
      <c r="D124" s="10" t="s">
        <v>755</v>
      </c>
      <c r="E124" s="13" t="str">
        <f>HYPERLINK("https://youtu.be/Z55lRaAuYrM?t=4703","channel 2")</f>
        <v>channel 2</v>
      </c>
    </row>
    <row r="125">
      <c r="A125" s="7"/>
      <c r="B125" s="10" t="s">
        <v>752</v>
      </c>
      <c r="C125" s="12" t="s">
        <v>47</v>
      </c>
      <c r="D125" s="10" t="s">
        <v>757</v>
      </c>
      <c r="E125" s="36" t="str">
        <f>HYPERLINK("https://youtu.be/YEpw6H35vRo?t=5429","channel 1")</f>
        <v>channel 1</v>
      </c>
    </row>
    <row r="126">
      <c r="A126" s="7"/>
      <c r="B126" s="10" t="s">
        <v>753</v>
      </c>
      <c r="C126" s="12" t="s">
        <v>30</v>
      </c>
      <c r="D126" s="10" t="s">
        <v>755</v>
      </c>
      <c r="E126" s="13" t="str">
        <f>HYPERLINK("https://youtu.be/Z55lRaAuYrM?t=5633","channel 2")</f>
        <v>channel 2</v>
      </c>
    </row>
    <row r="127">
      <c r="A127" s="7"/>
      <c r="B127" s="10" t="s">
        <v>756</v>
      </c>
      <c r="C127" s="12" t="s">
        <v>10</v>
      </c>
      <c r="D127" s="10" t="s">
        <v>757</v>
      </c>
      <c r="E127" s="36" t="str">
        <f>HYPERLINK("https://youtu.be/YEpw6H35vRo?t=6468","channel 1")</f>
        <v>channel 1</v>
      </c>
    </row>
    <row r="128">
      <c r="A128" s="7"/>
      <c r="B128" s="10" t="s">
        <v>752</v>
      </c>
      <c r="C128" s="12" t="s">
        <v>761</v>
      </c>
      <c r="D128" s="10" t="s">
        <v>755</v>
      </c>
      <c r="E128" s="13" t="str">
        <f>HYPERLINK("https://youtu.be/Z55lRaAuYrM?t=6644","channel 2")</f>
        <v>channel 2</v>
      </c>
    </row>
    <row r="129">
      <c r="A129" s="7"/>
      <c r="B129" s="10" t="s">
        <v>753</v>
      </c>
      <c r="C129" s="12" t="s">
        <v>24</v>
      </c>
      <c r="D129" s="10" t="s">
        <v>757</v>
      </c>
      <c r="E129" s="36" t="str">
        <f>HYPERLINK("https://youtu.be/YEpw6H35vRo?t=7572","channel 1")</f>
        <v>channel 1</v>
      </c>
    </row>
    <row r="130">
      <c r="A130" s="7"/>
      <c r="B130" s="10" t="s">
        <v>752</v>
      </c>
      <c r="C130" s="12" t="s">
        <v>30</v>
      </c>
      <c r="D130" s="10" t="s">
        <v>756</v>
      </c>
      <c r="E130" s="13" t="str">
        <f>HYPERLINK("https://youtu.be/Z55lRaAuYrM?t=7743","channel 2")</f>
        <v>channel 2</v>
      </c>
    </row>
    <row r="131">
      <c r="A131" s="7"/>
      <c r="B131" s="10" t="s">
        <v>755</v>
      </c>
      <c r="C131" s="12" t="s">
        <v>156</v>
      </c>
      <c r="D131" s="10" t="s">
        <v>757</v>
      </c>
      <c r="E131" s="36" t="str">
        <f>HYPERLINK("https://youtu.be/YEpw6H35vRo?t=8400","channel 1")</f>
        <v>channel 1</v>
      </c>
    </row>
    <row r="132">
      <c r="A132" s="25"/>
      <c r="B132" s="10" t="s">
        <v>753</v>
      </c>
      <c r="C132" s="12" t="s">
        <v>34</v>
      </c>
      <c r="D132" s="10" t="s">
        <v>756</v>
      </c>
      <c r="E132" s="13" t="str">
        <f>HYPERLINK("https://youtu.be/Z55lRaAuYrM?t=8647","channel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531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410</v>
      </c>
      <c r="C3" s="12" t="s">
        <v>74</v>
      </c>
      <c r="D3" s="10" t="s">
        <v>78</v>
      </c>
      <c r="E3" s="36" t="str">
        <f>HYPERLINK("https://youtu.be/fFkBb5PGA24","channel 1")</f>
        <v>channel 1</v>
      </c>
    </row>
    <row r="4">
      <c r="A4" s="7"/>
      <c r="B4" s="10" t="s">
        <v>666</v>
      </c>
      <c r="C4" s="37" t="s">
        <v>226</v>
      </c>
      <c r="D4" s="10" t="s">
        <v>667</v>
      </c>
      <c r="E4" s="13" t="str">
        <f>HYPERLINK("https://youtu.be/HAEpYA5n8MQ","channel 2")</f>
        <v>channel 2</v>
      </c>
    </row>
    <row r="5">
      <c r="A5" s="7"/>
      <c r="B5" s="10" t="s">
        <v>83</v>
      </c>
      <c r="C5" s="12" t="s">
        <v>90</v>
      </c>
      <c r="D5" s="10" t="s">
        <v>410</v>
      </c>
      <c r="E5" s="36" t="str">
        <f>HYPERLINK("https://youtu.be/fFkBb5PGA24?t=836","channel 1")</f>
        <v>channel 1</v>
      </c>
    </row>
    <row r="6">
      <c r="A6" s="7"/>
      <c r="B6" s="10" t="s">
        <v>666</v>
      </c>
      <c r="C6" s="12" t="s">
        <v>135</v>
      </c>
      <c r="D6" s="10" t="s">
        <v>78</v>
      </c>
      <c r="E6" s="13" t="str">
        <f>HYPERLINK("https://youtu.be/VSvUpU6F7As","channel 2")</f>
        <v>channel 2</v>
      </c>
    </row>
    <row r="7">
      <c r="A7" s="7"/>
      <c r="B7" s="10" t="s">
        <v>83</v>
      </c>
      <c r="C7" s="12" t="s">
        <v>538</v>
      </c>
      <c r="D7" s="10" t="s">
        <v>667</v>
      </c>
      <c r="E7" s="36" t="str">
        <f>HYPERLINK("https://youtu.be/fFkBb5PGA24?t=1838","channel 1")</f>
        <v>channel 1</v>
      </c>
    </row>
    <row r="8">
      <c r="A8" s="7"/>
      <c r="B8" s="10" t="s">
        <v>666</v>
      </c>
      <c r="C8" s="12" t="s">
        <v>109</v>
      </c>
      <c r="D8" s="10" t="s">
        <v>410</v>
      </c>
      <c r="E8" s="13" t="str">
        <f>HYPERLINK("https://youtu.be/HAEpYA5n8MQ?t=1844","channel 2")</f>
        <v>channel 2</v>
      </c>
    </row>
    <row r="9">
      <c r="A9" s="7"/>
      <c r="B9" s="10" t="s">
        <v>83</v>
      </c>
      <c r="C9" s="12" t="s">
        <v>522</v>
      </c>
      <c r="D9" s="10" t="s">
        <v>78</v>
      </c>
      <c r="E9" s="36" t="str">
        <f>HYPERLINK("https://youtu.be/fFkBb5PGA24?t=2799","channel 1")</f>
        <v>channel 1</v>
      </c>
    </row>
    <row r="10">
      <c r="A10" s="7"/>
      <c r="B10" s="10" t="s">
        <v>667</v>
      </c>
      <c r="C10" s="12" t="s">
        <v>675</v>
      </c>
      <c r="D10" s="10" t="s">
        <v>410</v>
      </c>
      <c r="E10" s="13" t="str">
        <f>HYPERLINK("https://youtu.be/HAEpYA5n8MQ?t=2766","channel 2")</f>
        <v>channel 2</v>
      </c>
    </row>
    <row r="11">
      <c r="A11" s="7"/>
      <c r="B11" s="10" t="s">
        <v>83</v>
      </c>
      <c r="C11" s="12" t="s">
        <v>42</v>
      </c>
      <c r="D11" s="10" t="s">
        <v>666</v>
      </c>
      <c r="E11" s="36" t="str">
        <f>HYPERLINK("https://youtu.be/fFkBb5PGA24?t=3656","channel 1")</f>
        <v>channel 1</v>
      </c>
    </row>
    <row r="12">
      <c r="A12" s="7"/>
      <c r="B12" s="10" t="s">
        <v>667</v>
      </c>
      <c r="C12" s="12" t="s">
        <v>141</v>
      </c>
      <c r="D12" s="10" t="s">
        <v>78</v>
      </c>
      <c r="E12" s="13" t="str">
        <f>HYPERLINK("https://youtu.be/HAEpYA5n8MQ?t=3729","channel 2")</f>
        <v>channel 2</v>
      </c>
    </row>
    <row r="13">
      <c r="A13" s="7"/>
      <c r="B13" s="10" t="s">
        <v>78</v>
      </c>
      <c r="C13" s="12" t="s">
        <v>319</v>
      </c>
      <c r="D13" s="10" t="s">
        <v>410</v>
      </c>
      <c r="E13" s="36" t="str">
        <f>HYPERLINK("https://youtu.be/fFkBb5PGA24?t=4548","channel 1")</f>
        <v>channel 1</v>
      </c>
    </row>
    <row r="14">
      <c r="A14" s="7"/>
      <c r="B14" s="10" t="s">
        <v>667</v>
      </c>
      <c r="C14" s="12" t="s">
        <v>56</v>
      </c>
      <c r="D14" s="10" t="s">
        <v>666</v>
      </c>
      <c r="E14" s="13" t="str">
        <f>HYPERLINK("https://youtu.be/HAEpYA5n8MQ?t=4648","channel 2")</f>
        <v>channel 2</v>
      </c>
    </row>
    <row r="15">
      <c r="A15" s="7"/>
      <c r="B15" s="10" t="s">
        <v>410</v>
      </c>
      <c r="C15" s="12" t="s">
        <v>141</v>
      </c>
      <c r="D15" s="10" t="s">
        <v>83</v>
      </c>
      <c r="E15" s="36" t="str">
        <f>HYPERLINK("https://youtu.be/fFkBb5PGA24?t=5562","channel 1")</f>
        <v>channel 1</v>
      </c>
    </row>
    <row r="16">
      <c r="A16" s="7"/>
      <c r="B16" s="10" t="s">
        <v>78</v>
      </c>
      <c r="C16" s="12" t="s">
        <v>281</v>
      </c>
      <c r="D16" s="10" t="s">
        <v>666</v>
      </c>
      <c r="E16" s="13" t="str">
        <f>HYPERLINK("https://youtu.be/HAEpYA5n8MQ?t=5576","channel 2")</f>
        <v>channel 2</v>
      </c>
    </row>
    <row r="17">
      <c r="A17" s="7"/>
      <c r="B17" s="10" t="s">
        <v>667</v>
      </c>
      <c r="C17" s="12" t="s">
        <v>44</v>
      </c>
      <c r="D17" s="10" t="s">
        <v>83</v>
      </c>
      <c r="E17" s="36" t="str">
        <f>HYPERLINK("https://youtu.be/fFkBb5PGA24?t=6471","channel 1")</f>
        <v>channel 1</v>
      </c>
    </row>
    <row r="18">
      <c r="A18" s="7"/>
      <c r="B18" s="10" t="s">
        <v>410</v>
      </c>
      <c r="C18" s="12" t="s">
        <v>179</v>
      </c>
      <c r="D18" s="10" t="s">
        <v>666</v>
      </c>
      <c r="E18" s="13" t="str">
        <f>HYPERLINK("https://youtu.be/HAEpYA5n8MQ?t=6475","channel 2")</f>
        <v>channel 2</v>
      </c>
    </row>
    <row r="19">
      <c r="A19" s="7"/>
      <c r="B19" s="10" t="s">
        <v>78</v>
      </c>
      <c r="C19" s="12" t="s">
        <v>680</v>
      </c>
      <c r="D19" s="10" t="s">
        <v>83</v>
      </c>
      <c r="E19" s="36" t="str">
        <f>HYPERLINK("https://youtu.be/fFkBb5PGA24?t=7506","channel 1")</f>
        <v>channel 1</v>
      </c>
    </row>
    <row r="20">
      <c r="A20" s="7"/>
      <c r="B20" s="10" t="s">
        <v>410</v>
      </c>
      <c r="C20" s="12" t="s">
        <v>538</v>
      </c>
      <c r="D20" s="10" t="s">
        <v>667</v>
      </c>
      <c r="E20" s="13" t="str">
        <f>HYPERLINK("https://youtu.be/HAEpYA5n8MQ?t=7445","channel 2")</f>
        <v>channel 2</v>
      </c>
    </row>
    <row r="21">
      <c r="A21" s="7"/>
      <c r="B21" s="10" t="s">
        <v>666</v>
      </c>
      <c r="C21" s="12" t="s">
        <v>109</v>
      </c>
      <c r="D21" s="10" t="s">
        <v>83</v>
      </c>
      <c r="E21" s="36" t="str">
        <f>HYPERLINK("https://youtu.be/fFkBb5PGA24?t=8394","channel 1")</f>
        <v>channel 1</v>
      </c>
    </row>
    <row r="22">
      <c r="A22" s="7"/>
      <c r="B22" s="10" t="s">
        <v>78</v>
      </c>
      <c r="C22" s="12" t="s">
        <v>87</v>
      </c>
      <c r="D22" s="10" t="s">
        <v>667</v>
      </c>
      <c r="E22" s="13" t="str">
        <f>HYPERLINK("https://youtu.be/HAEpYA5n8MQ?t=8441","channel 2")</f>
        <v>channel 2</v>
      </c>
    </row>
    <row r="23">
      <c r="A23" s="7"/>
      <c r="B23" s="2" t="s">
        <v>579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681</v>
      </c>
      <c r="C25" s="12" t="s">
        <v>109</v>
      </c>
      <c r="D25" s="10" t="s">
        <v>682</v>
      </c>
      <c r="E25" s="36" t="str">
        <f>HYPERLINK("https://youtu.be/KKjUPw-VnU8","channel 1")</f>
        <v>channel 1</v>
      </c>
    </row>
    <row r="26">
      <c r="A26" s="7"/>
      <c r="B26" s="10" t="s">
        <v>684</v>
      </c>
      <c r="C26" s="12" t="s">
        <v>156</v>
      </c>
      <c r="D26" s="10" t="s">
        <v>685</v>
      </c>
      <c r="E26" s="13" t="str">
        <f>HYPERLINK("https://youtu.be/VSvUpU6F7As","channel 2")</f>
        <v>channel 2</v>
      </c>
    </row>
    <row r="27">
      <c r="A27" s="7"/>
      <c r="B27" s="10" t="s">
        <v>686</v>
      </c>
      <c r="C27" s="12" t="s">
        <v>117</v>
      </c>
      <c r="D27" s="10" t="s">
        <v>681</v>
      </c>
      <c r="E27" s="36" t="str">
        <f>HYPERLINK("https://youtu.be/KKjUPw-VnU8?t=934","channel 1")</f>
        <v>channel 1</v>
      </c>
    </row>
    <row r="28">
      <c r="A28" s="7"/>
      <c r="B28" s="10" t="s">
        <v>684</v>
      </c>
      <c r="C28" s="12" t="s">
        <v>462</v>
      </c>
      <c r="D28" s="10" t="s">
        <v>682</v>
      </c>
      <c r="E28" s="13" t="str">
        <f>HYPERLINK("https://youtu.be/VSvUpU6F7As?t=937","channel 2")</f>
        <v>channel 2</v>
      </c>
    </row>
    <row r="29">
      <c r="A29" s="7"/>
      <c r="B29" s="10" t="s">
        <v>686</v>
      </c>
      <c r="C29" s="12" t="s">
        <v>687</v>
      </c>
      <c r="D29" s="10" t="s">
        <v>685</v>
      </c>
      <c r="E29" s="36" t="str">
        <f>HYPERLINK("https://youtu.be/KKjUPw-VnU8?t=1952","channel 1")</f>
        <v>channel 1</v>
      </c>
    </row>
    <row r="30">
      <c r="A30" s="7"/>
      <c r="B30" s="10" t="s">
        <v>684</v>
      </c>
      <c r="C30" s="12" t="s">
        <v>111</v>
      </c>
      <c r="D30" s="10" t="s">
        <v>681</v>
      </c>
      <c r="E30" s="13" t="str">
        <f>HYPERLINK("https://youtu.be/VSvUpU6F7As?t=1925","channel 2")</f>
        <v>channel 2</v>
      </c>
    </row>
    <row r="31">
      <c r="A31" s="7"/>
      <c r="B31" s="10" t="s">
        <v>686</v>
      </c>
      <c r="C31" s="12" t="s">
        <v>214</v>
      </c>
      <c r="D31" s="10" t="s">
        <v>682</v>
      </c>
      <c r="E31" s="36" t="str">
        <f>HYPERLINK("https://youtu.be/KKjUPw-VnU8?t=2841","channel 1")</f>
        <v>channel 1</v>
      </c>
    </row>
    <row r="32">
      <c r="A32" s="7"/>
      <c r="B32" s="10" t="s">
        <v>685</v>
      </c>
      <c r="C32" s="12" t="s">
        <v>278</v>
      </c>
      <c r="D32" s="10" t="s">
        <v>681</v>
      </c>
      <c r="E32" s="13" t="str">
        <f>HYPERLINK("https://youtu.be/VSvUpU6F7As?t=2883","channel 2")</f>
        <v>channel 2</v>
      </c>
    </row>
    <row r="33">
      <c r="A33" s="7"/>
      <c r="B33" s="10" t="s">
        <v>686</v>
      </c>
      <c r="C33" s="12" t="s">
        <v>20</v>
      </c>
      <c r="D33" s="10" t="s">
        <v>684</v>
      </c>
      <c r="E33" s="36" t="str">
        <f>HYPERLINK("https://youtu.be/KKjUPw-VnU8?t=3895","channel 1")</f>
        <v>channel 1</v>
      </c>
    </row>
    <row r="34">
      <c r="A34" s="7"/>
      <c r="B34" s="10" t="s">
        <v>685</v>
      </c>
      <c r="C34" s="12" t="s">
        <v>392</v>
      </c>
      <c r="D34" s="10" t="s">
        <v>682</v>
      </c>
      <c r="E34" s="13" t="str">
        <f>HYPERLINK("https://youtu.be/VSvUpU6F7As?t=3932","channel 2")</f>
        <v>channel 2</v>
      </c>
    </row>
    <row r="35">
      <c r="A35" s="7"/>
      <c r="B35" s="10" t="s">
        <v>682</v>
      </c>
      <c r="C35" s="12" t="s">
        <v>74</v>
      </c>
      <c r="D35" s="10" t="s">
        <v>681</v>
      </c>
      <c r="E35" s="36" t="str">
        <f>HYPERLINK("https://youtu.be/KKjUPw-VnU8?t=4861","channel 1")</f>
        <v>channel 1</v>
      </c>
    </row>
    <row r="36">
      <c r="A36" s="7"/>
      <c r="B36" s="10" t="s">
        <v>685</v>
      </c>
      <c r="C36" s="12" t="s">
        <v>225</v>
      </c>
      <c r="D36" s="10" t="s">
        <v>684</v>
      </c>
      <c r="E36" s="13" t="str">
        <f>HYPERLINK("https://youtu.be/VSvUpU6F7As?t=4779","channel 2")</f>
        <v>channel 2</v>
      </c>
    </row>
    <row r="37">
      <c r="A37" s="7"/>
      <c r="B37" s="10" t="s">
        <v>681</v>
      </c>
      <c r="C37" s="12" t="s">
        <v>141</v>
      </c>
      <c r="D37" s="10" t="s">
        <v>686</v>
      </c>
      <c r="E37" s="36" t="str">
        <f>HYPERLINK("https://youtu.be/KKjUPw-VnU8?t=5930","channel 1")</f>
        <v>channel 1</v>
      </c>
    </row>
    <row r="38">
      <c r="A38" s="7"/>
      <c r="B38" s="10" t="s">
        <v>682</v>
      </c>
      <c r="C38" s="12" t="s">
        <v>693</v>
      </c>
      <c r="D38" s="10" t="s">
        <v>684</v>
      </c>
      <c r="E38" s="13" t="str">
        <f>HYPERLINK("https://youtu.be/VSvUpU6F7As?t=5793","channel 2")</f>
        <v>channel 2</v>
      </c>
    </row>
    <row r="39">
      <c r="A39" s="7"/>
      <c r="B39" s="10" t="s">
        <v>685</v>
      </c>
      <c r="C39" s="18" t="s">
        <v>124</v>
      </c>
      <c r="D39" s="10" t="s">
        <v>686</v>
      </c>
      <c r="E39" s="36" t="str">
        <f>HYPERLINK("https://youtu.be/KKjUPw-VnU8?t=6969","channel 1")</f>
        <v>channel 1</v>
      </c>
    </row>
    <row r="40">
      <c r="A40" s="7"/>
      <c r="B40" s="10" t="s">
        <v>681</v>
      </c>
      <c r="C40" s="12" t="s">
        <v>694</v>
      </c>
      <c r="D40" s="10" t="s">
        <v>684</v>
      </c>
      <c r="E40" s="13" t="str">
        <f>HYPERLINK("https://youtu.be/VSvUpU6F7As?t=6754","channel 2")</f>
        <v>channel 2</v>
      </c>
    </row>
    <row r="41">
      <c r="A41" s="7"/>
      <c r="B41" s="10" t="s">
        <v>682</v>
      </c>
      <c r="C41" s="12" t="s">
        <v>59</v>
      </c>
      <c r="D41" s="10" t="s">
        <v>686</v>
      </c>
      <c r="E41" s="36" t="str">
        <f>HYPERLINK("https://youtu.be/KKjUPw-VnU8?t=7912","channel 1")</f>
        <v>channel 1</v>
      </c>
    </row>
    <row r="42">
      <c r="A42" s="7"/>
      <c r="B42" s="10" t="s">
        <v>681</v>
      </c>
      <c r="C42" s="12" t="s">
        <v>93</v>
      </c>
      <c r="D42" s="10" t="s">
        <v>685</v>
      </c>
      <c r="E42" s="13" t="str">
        <f>HYPERLINK("https://youtu.be/VSvUpU6F7As?t=7824","channel 2")</f>
        <v>channel 2</v>
      </c>
    </row>
    <row r="43">
      <c r="A43" s="7"/>
      <c r="B43" s="10" t="s">
        <v>684</v>
      </c>
      <c r="C43" s="12" t="s">
        <v>375</v>
      </c>
      <c r="D43" s="10" t="s">
        <v>686</v>
      </c>
      <c r="E43" s="36" t="str">
        <f>HYPERLINK("https://youtu.be/KKjUPw-VnU8?t=8795","channel 1")</f>
        <v>channel 1</v>
      </c>
    </row>
    <row r="44">
      <c r="A44" s="7"/>
      <c r="B44" s="10" t="s">
        <v>682</v>
      </c>
      <c r="C44" s="12" t="s">
        <v>478</v>
      </c>
      <c r="D44" s="10" t="s">
        <v>685</v>
      </c>
      <c r="E44" s="13" t="str">
        <f>HYPERLINK("https://youtu.be/VSvUpU6F7As?t=8754","channel 2")</f>
        <v>channel 2</v>
      </c>
    </row>
    <row r="45">
      <c r="A45" s="7"/>
      <c r="B45" s="2" t="s">
        <v>202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679</v>
      </c>
      <c r="C47" s="12" t="s">
        <v>61</v>
      </c>
      <c r="D47" s="10" t="s">
        <v>678</v>
      </c>
      <c r="E47" s="36" t="str">
        <f>HYPERLINK("https://youtu.be/oUsU1IJo3qU","channel 1")</f>
        <v>channel 1</v>
      </c>
    </row>
    <row r="48">
      <c r="A48" s="7"/>
      <c r="B48" s="10" t="s">
        <v>699</v>
      </c>
      <c r="C48" s="12" t="s">
        <v>32</v>
      </c>
      <c r="D48" s="10" t="s">
        <v>654</v>
      </c>
      <c r="E48" s="13" t="str">
        <f>HYPERLINK("https://youtu.be/1QNJ1hhDDLA","channel 2")</f>
        <v>channel 2</v>
      </c>
    </row>
    <row r="49">
      <c r="A49" s="7"/>
      <c r="B49" s="10" t="s">
        <v>702</v>
      </c>
      <c r="C49" s="12" t="s">
        <v>34</v>
      </c>
      <c r="D49" s="10" t="s">
        <v>679</v>
      </c>
      <c r="E49" s="36" t="str">
        <f>HYPERLINK("https://youtu.be/oUsU1IJo3qU?t=974","channel 1")</f>
        <v>channel 1</v>
      </c>
    </row>
    <row r="50">
      <c r="A50" s="7"/>
      <c r="B50" s="10" t="s">
        <v>699</v>
      </c>
      <c r="C50" s="12" t="s">
        <v>117</v>
      </c>
      <c r="D50" s="10" t="s">
        <v>678</v>
      </c>
      <c r="E50" s="13" t="str">
        <f>HYPERLINK("https://youtu.be/1QNJ1hhDDLA?t=963","channel 2")</f>
        <v>channel 2</v>
      </c>
    </row>
    <row r="51">
      <c r="A51" s="7"/>
      <c r="B51" s="10" t="s">
        <v>702</v>
      </c>
      <c r="C51" s="12" t="s">
        <v>216</v>
      </c>
      <c r="D51" s="10" t="s">
        <v>654</v>
      </c>
      <c r="E51" s="36" t="str">
        <f>HYPERLINK("https://youtu.be/oUsU1IJo3qU?t=2000","channel 1")</f>
        <v>channel 1</v>
      </c>
    </row>
    <row r="52">
      <c r="A52" s="7"/>
      <c r="B52" s="10" t="s">
        <v>699</v>
      </c>
      <c r="C52" s="12" t="s">
        <v>37</v>
      </c>
      <c r="D52" s="10" t="s">
        <v>679</v>
      </c>
      <c r="E52" s="13" t="str">
        <f>HYPERLINK("https://youtu.be/1QNJ1hhDDLA?t=1902","channel 2")</f>
        <v>channel 2</v>
      </c>
    </row>
    <row r="53">
      <c r="A53" s="7"/>
      <c r="B53" s="10" t="s">
        <v>702</v>
      </c>
      <c r="C53" s="12" t="s">
        <v>36</v>
      </c>
      <c r="D53" s="10" t="s">
        <v>678</v>
      </c>
      <c r="E53" s="36" t="str">
        <f>HYPERLINK("https://youtu.be/oUsU1IJo3qU?t=3000","channel 1")</f>
        <v>channel 1</v>
      </c>
    </row>
    <row r="54">
      <c r="A54" s="7"/>
      <c r="B54" s="10" t="s">
        <v>654</v>
      </c>
      <c r="C54" s="12" t="s">
        <v>109</v>
      </c>
      <c r="D54" s="10" t="s">
        <v>679</v>
      </c>
      <c r="E54" s="13" t="str">
        <f>HYPERLINK("https://youtu.be/1QNJ1hhDDLA?t=2997","channel 2")</f>
        <v>channel 2</v>
      </c>
    </row>
    <row r="55">
      <c r="A55" s="7"/>
      <c r="B55" s="10" t="s">
        <v>702</v>
      </c>
      <c r="C55" s="12" t="s">
        <v>108</v>
      </c>
      <c r="D55" s="10" t="s">
        <v>699</v>
      </c>
      <c r="E55" s="36" t="str">
        <f>HYPERLINK("https://youtu.be/oUsU1IJo3qU?t=3982","channel 1")</f>
        <v>channel 1</v>
      </c>
    </row>
    <row r="56">
      <c r="A56" s="7"/>
      <c r="B56" s="10" t="s">
        <v>654</v>
      </c>
      <c r="C56" s="12" t="s">
        <v>160</v>
      </c>
      <c r="D56" s="10" t="s">
        <v>678</v>
      </c>
      <c r="E56" s="13" t="str">
        <f>HYPERLINK("https://youtu.be/1QNJ1hhDDLA?t=3991","channel 2")</f>
        <v>channel 2</v>
      </c>
    </row>
    <row r="57">
      <c r="A57" s="7"/>
      <c r="B57" s="10" t="s">
        <v>678</v>
      </c>
      <c r="C57" s="12" t="s">
        <v>24</v>
      </c>
      <c r="D57" s="10" t="s">
        <v>679</v>
      </c>
      <c r="E57" s="36" t="str">
        <f>HYPERLINK("https://youtu.be/oUsU1IJo3qU?t=5012","channel 1")</f>
        <v>channel 1</v>
      </c>
    </row>
    <row r="58">
      <c r="A58" s="7"/>
      <c r="B58" s="10" t="s">
        <v>654</v>
      </c>
      <c r="C58" s="12" t="s">
        <v>46</v>
      </c>
      <c r="D58" s="10" t="s">
        <v>699</v>
      </c>
      <c r="E58" s="13" t="str">
        <f>HYPERLINK("https://youtu.be/1QNJ1hhDDLA?t=4958","channel 2")</f>
        <v>channel 2</v>
      </c>
    </row>
    <row r="59">
      <c r="A59" s="7"/>
      <c r="B59" s="10" t="s">
        <v>679</v>
      </c>
      <c r="C59" s="12" t="s">
        <v>47</v>
      </c>
      <c r="D59" s="10" t="s">
        <v>702</v>
      </c>
      <c r="E59" s="36" t="str">
        <f>HYPERLINK("https://youtu.be/oUsU1IJo3qU?t=5936","channel 1")</f>
        <v>channel 1</v>
      </c>
    </row>
    <row r="60">
      <c r="A60" s="7"/>
      <c r="B60" s="10" t="s">
        <v>678</v>
      </c>
      <c r="C60" s="12" t="s">
        <v>570</v>
      </c>
      <c r="D60" s="10" t="s">
        <v>699</v>
      </c>
      <c r="E60" s="13" t="str">
        <f>HYPERLINK("https://youtu.be/1QNJ1hhDDLA?t=5924","channel 2")</f>
        <v>channel 2</v>
      </c>
    </row>
    <row r="61">
      <c r="A61" s="7"/>
      <c r="B61" s="10" t="s">
        <v>654</v>
      </c>
      <c r="C61" s="12" t="s">
        <v>47</v>
      </c>
      <c r="D61" s="10" t="s">
        <v>702</v>
      </c>
      <c r="E61" s="36" t="str">
        <f>HYPERLINK("https://youtu.be/oUsU1IJo3qU?t=6923","channel 1")</f>
        <v>channel 1</v>
      </c>
    </row>
    <row r="62">
      <c r="A62" s="7"/>
      <c r="B62" s="10" t="s">
        <v>679</v>
      </c>
      <c r="C62" s="18" t="s">
        <v>337</v>
      </c>
      <c r="D62" s="10" t="s">
        <v>699</v>
      </c>
      <c r="E62" s="13" t="str">
        <f>HYPERLINK("https://youtu.be/1QNJ1hhDDLA?t=6924","channel 2")</f>
        <v>channel 2</v>
      </c>
    </row>
    <row r="63">
      <c r="A63" s="7"/>
      <c r="B63" s="10" t="s">
        <v>678</v>
      </c>
      <c r="C63" s="12" t="s">
        <v>89</v>
      </c>
      <c r="D63" s="10" t="s">
        <v>702</v>
      </c>
      <c r="E63" s="36" t="str">
        <f>HYPERLINK("https://youtu.be/oUsU1IJo3qU?t=7888","channel 1")</f>
        <v>channel 1</v>
      </c>
    </row>
    <row r="64">
      <c r="A64" s="7"/>
      <c r="B64" s="10" t="s">
        <v>679</v>
      </c>
      <c r="C64" s="12" t="s">
        <v>214</v>
      </c>
      <c r="D64" s="10" t="s">
        <v>654</v>
      </c>
      <c r="E64" s="13" t="str">
        <f>HYPERLINK("https://youtu.be/1QNJ1hhDDLA?t=7916","channel 2")</f>
        <v>channel 2</v>
      </c>
    </row>
    <row r="65">
      <c r="A65" s="7"/>
      <c r="B65" s="10" t="s">
        <v>699</v>
      </c>
      <c r="C65" s="12" t="s">
        <v>225</v>
      </c>
      <c r="D65" s="10" t="s">
        <v>702</v>
      </c>
      <c r="E65" s="36" t="str">
        <f>HYPERLINK("https://youtu.be/oUsU1IJo3qU?t=8835","channel 1")</f>
        <v>channel 1</v>
      </c>
    </row>
    <row r="66">
      <c r="A66" s="7"/>
      <c r="B66" s="10" t="s">
        <v>678</v>
      </c>
      <c r="C66" s="12" t="s">
        <v>708</v>
      </c>
      <c r="D66" s="10" t="s">
        <v>654</v>
      </c>
      <c r="E66" s="13" t="str">
        <f>HYPERLINK("https://youtu.be/1QNJ1hhDDLA?t=8862","channel 2")</f>
        <v>channel 2</v>
      </c>
    </row>
    <row r="67">
      <c r="A67" s="7"/>
      <c r="B67" s="42" t="s">
        <v>229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709</v>
      </c>
      <c r="C69" s="12" t="s">
        <v>538</v>
      </c>
      <c r="D69" s="10" t="s">
        <v>710</v>
      </c>
      <c r="E69" s="36" t="str">
        <f>HYPERLINK("https://youtu.be/c-S81ZWXprE","channel 1")</f>
        <v>channel 1</v>
      </c>
    </row>
    <row r="70">
      <c r="A70" s="7"/>
      <c r="B70" s="10" t="s">
        <v>712</v>
      </c>
      <c r="C70" s="12" t="s">
        <v>108</v>
      </c>
      <c r="D70" s="10" t="s">
        <v>618</v>
      </c>
      <c r="E70" s="13" t="str">
        <f>HYPERLINK("https://youtu.be/vRgRUQpWdmM","channel 2")</f>
        <v>channel 2</v>
      </c>
    </row>
    <row r="71">
      <c r="A71" s="7"/>
      <c r="B71" s="10" t="s">
        <v>714</v>
      </c>
      <c r="C71" s="12" t="s">
        <v>609</v>
      </c>
      <c r="D71" s="10" t="s">
        <v>709</v>
      </c>
      <c r="E71" s="36" t="str">
        <f>HYPERLINK("https://youtu.be/c-S81ZWXprE?t=1024","channel 1")</f>
        <v>channel 1</v>
      </c>
    </row>
    <row r="72">
      <c r="A72" s="7"/>
      <c r="B72" s="10" t="s">
        <v>712</v>
      </c>
      <c r="C72" s="12" t="s">
        <v>157</v>
      </c>
      <c r="D72" s="10" t="s">
        <v>710</v>
      </c>
      <c r="E72" s="13" t="str">
        <f>HYPERLINK("https://youtu.be/vRgRUQpWdmM?t=920","channel 2")</f>
        <v>channel 2</v>
      </c>
    </row>
    <row r="73">
      <c r="A73" s="7"/>
      <c r="B73" s="10" t="s">
        <v>714</v>
      </c>
      <c r="C73" s="12" t="s">
        <v>458</v>
      </c>
      <c r="D73" s="10" t="s">
        <v>618</v>
      </c>
      <c r="E73" s="36" t="str">
        <f>HYPERLINK("https://youtu.be/c-S81ZWXprE?t=1979","channel 1")</f>
        <v>channel 1</v>
      </c>
    </row>
    <row r="74">
      <c r="A74" s="7"/>
      <c r="B74" s="10" t="s">
        <v>712</v>
      </c>
      <c r="C74" s="12" t="s">
        <v>42</v>
      </c>
      <c r="D74" s="10" t="s">
        <v>709</v>
      </c>
      <c r="E74" s="13" t="str">
        <f>HYPERLINK("https://youtu.be/vRgRUQpWdmM?t=1840","channel 2")</f>
        <v>channel 2</v>
      </c>
    </row>
    <row r="75">
      <c r="A75" s="7"/>
      <c r="B75" s="10" t="s">
        <v>714</v>
      </c>
      <c r="C75" s="12" t="s">
        <v>721</v>
      </c>
      <c r="D75" s="10" t="s">
        <v>710</v>
      </c>
      <c r="E75" s="36" t="str">
        <f>HYPERLINK("https://youtu.be/c-S81ZWXprE?t=2931","channel 1")</f>
        <v>channel 1</v>
      </c>
    </row>
    <row r="76">
      <c r="A76" s="7"/>
      <c r="B76" s="10" t="s">
        <v>618</v>
      </c>
      <c r="C76" s="12" t="s">
        <v>184</v>
      </c>
      <c r="D76" s="10" t="s">
        <v>709</v>
      </c>
      <c r="E76" s="13" t="str">
        <f>HYPERLINK("https://youtu.be/vRgRUQpWdmM?t=2807","channel 2")</f>
        <v>channel 2</v>
      </c>
    </row>
    <row r="77">
      <c r="A77" s="7"/>
      <c r="B77" s="10" t="s">
        <v>714</v>
      </c>
      <c r="C77" s="12" t="s">
        <v>722</v>
      </c>
      <c r="D77" s="10" t="s">
        <v>712</v>
      </c>
      <c r="E77" s="36" t="str">
        <f>HYPERLINK("https://youtu.be/c-S81ZWXprE?t=3903","channel 1")</f>
        <v>channel 1</v>
      </c>
    </row>
    <row r="78">
      <c r="A78" s="7"/>
      <c r="B78" s="10" t="s">
        <v>618</v>
      </c>
      <c r="C78" s="12" t="s">
        <v>188</v>
      </c>
      <c r="D78" s="10" t="s">
        <v>710</v>
      </c>
      <c r="E78" s="13" t="str">
        <f>HYPERLINK("https://youtu.be/vRgRUQpWdmM?t=3740","channel 2")</f>
        <v>channel 2</v>
      </c>
    </row>
    <row r="79">
      <c r="A79" s="7"/>
      <c r="B79" s="10" t="s">
        <v>710</v>
      </c>
      <c r="C79" s="12" t="s">
        <v>56</v>
      </c>
      <c r="D79" s="10" t="s">
        <v>709</v>
      </c>
      <c r="E79" s="36" t="str">
        <f>HYPERLINK("https://youtu.be/c-S81ZWXprE?t=4933","channel 1")</f>
        <v>channel 1</v>
      </c>
    </row>
    <row r="80">
      <c r="A80" s="7"/>
      <c r="B80" s="10" t="s">
        <v>618</v>
      </c>
      <c r="C80" s="12" t="s">
        <v>214</v>
      </c>
      <c r="D80" s="10" t="s">
        <v>712</v>
      </c>
      <c r="E80" s="13" t="str">
        <f>HYPERLINK("https://youtu.be/vRgRUQpWdmM?t=4631","channel 2")</f>
        <v>channel 2</v>
      </c>
    </row>
    <row r="81">
      <c r="A81" s="7"/>
      <c r="B81" s="10" t="s">
        <v>709</v>
      </c>
      <c r="C81" s="12" t="s">
        <v>107</v>
      </c>
      <c r="D81" s="10" t="s">
        <v>714</v>
      </c>
      <c r="E81" s="36" t="str">
        <f>HYPERLINK("https://youtu.be/c-S81ZWXprE?t=5900","channel 1")</f>
        <v>channel 1</v>
      </c>
    </row>
    <row r="82">
      <c r="A82" s="7"/>
      <c r="B82" s="10" t="s">
        <v>710</v>
      </c>
      <c r="C82" s="12" t="s">
        <v>206</v>
      </c>
      <c r="D82" s="10" t="s">
        <v>712</v>
      </c>
      <c r="E82" s="13" t="str">
        <f>HYPERLINK("https://youtu.be/vRgRUQpWdmM?t=5637","channel 2")</f>
        <v>channel 2</v>
      </c>
    </row>
    <row r="83">
      <c r="A83" s="7"/>
      <c r="B83" s="10" t="s">
        <v>618</v>
      </c>
      <c r="C83" s="12" t="s">
        <v>725</v>
      </c>
      <c r="D83" s="10" t="s">
        <v>714</v>
      </c>
      <c r="E83" s="36" t="str">
        <f>HYPERLINK("https://youtu.be/c-S81ZWXprE?t=6826","channel 1")</f>
        <v>channel 1</v>
      </c>
    </row>
    <row r="84">
      <c r="A84" s="7"/>
      <c r="B84" s="10" t="s">
        <v>709</v>
      </c>
      <c r="C84" s="12" t="s">
        <v>156</v>
      </c>
      <c r="D84" s="10" t="s">
        <v>712</v>
      </c>
      <c r="E84" s="13" t="str">
        <f>HYPERLINK("https://youtu.be/vRgRUQpWdmM?t=6629","channel 2")</f>
        <v>channel 2</v>
      </c>
    </row>
    <row r="85">
      <c r="A85" s="7"/>
      <c r="B85" s="10" t="s">
        <v>710</v>
      </c>
      <c r="C85" s="12" t="s">
        <v>204</v>
      </c>
      <c r="D85" s="10" t="s">
        <v>714</v>
      </c>
      <c r="E85" s="36" t="str">
        <f>HYPERLINK("https://youtu.be/c-S81ZWXprE?t=7751","channel 1")</f>
        <v>channel 1</v>
      </c>
    </row>
    <row r="86">
      <c r="A86" s="7"/>
      <c r="B86" s="10" t="s">
        <v>709</v>
      </c>
      <c r="C86" s="12" t="s">
        <v>237</v>
      </c>
      <c r="D86" s="10" t="s">
        <v>618</v>
      </c>
      <c r="E86" s="13" t="str">
        <f>HYPERLINK("https://youtu.be/vRgRUQpWdmM?t=7569","channel 2")</f>
        <v>channel 2</v>
      </c>
    </row>
    <row r="87">
      <c r="A87" s="7"/>
      <c r="B87" s="10" t="s">
        <v>712</v>
      </c>
      <c r="C87" s="12" t="s">
        <v>281</v>
      </c>
      <c r="D87" s="10" t="s">
        <v>714</v>
      </c>
      <c r="E87" s="36" t="str">
        <f>HYPERLINK("https://youtu.be/c-S81ZWXprE?t=8646","channel 1")</f>
        <v>channel 1</v>
      </c>
    </row>
    <row r="88">
      <c r="A88" s="7"/>
      <c r="B88" s="10" t="s">
        <v>710</v>
      </c>
      <c r="C88" s="12" t="s">
        <v>47</v>
      </c>
      <c r="D88" s="10" t="s">
        <v>618</v>
      </c>
      <c r="E88" s="13" t="str">
        <f>HYPERLINK("https://youtu.be/vRgRUQpWdmM?t=8469","channel 2")</f>
        <v>channel 2</v>
      </c>
    </row>
    <row r="89">
      <c r="A89" s="7"/>
      <c r="B89" s="2" t="s">
        <v>638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129</v>
      </c>
      <c r="C91" s="12" t="s">
        <v>458</v>
      </c>
      <c r="D91" s="10" t="s">
        <v>727</v>
      </c>
      <c r="E91" s="36" t="str">
        <f>HYPERLINK("https://youtu.be/ryMNX30L9X0","channel 1")</f>
        <v>channel 1</v>
      </c>
    </row>
    <row r="92">
      <c r="A92" s="7"/>
      <c r="B92" s="10" t="s">
        <v>50</v>
      </c>
      <c r="C92" s="12" t="s">
        <v>99</v>
      </c>
      <c r="D92" s="10" t="s">
        <v>356</v>
      </c>
      <c r="E92" s="13" t="str">
        <f>HYPERLINK("https://youtu.be/jXXOf1e-4Cs","channel 2")</f>
        <v>channel 2</v>
      </c>
    </row>
    <row r="93">
      <c r="A93" s="7"/>
      <c r="B93" s="10" t="s">
        <v>732</v>
      </c>
      <c r="C93" s="12" t="s">
        <v>144</v>
      </c>
      <c r="D93" s="10" t="s">
        <v>129</v>
      </c>
      <c r="E93" s="36" t="str">
        <f>HYPERLINK("https://youtu.be/ryMNX30L9X0?t=917","channel 1")</f>
        <v>channel 1</v>
      </c>
    </row>
    <row r="94">
      <c r="A94" s="7"/>
      <c r="B94" s="10" t="s">
        <v>50</v>
      </c>
      <c r="C94" s="12" t="s">
        <v>124</v>
      </c>
      <c r="D94" s="10" t="s">
        <v>727</v>
      </c>
      <c r="E94" s="13" t="str">
        <f>HYPERLINK("https://youtu.be/jXXOf1e-4Cs?t=1176","channel 2")</f>
        <v>channel 2</v>
      </c>
    </row>
    <row r="95">
      <c r="A95" s="7"/>
      <c r="B95" s="10" t="s">
        <v>732</v>
      </c>
      <c r="C95" s="46" t="s">
        <v>278</v>
      </c>
      <c r="D95" s="10" t="s">
        <v>356</v>
      </c>
      <c r="E95" s="36" t="str">
        <f>HYPERLINK("https://youtu.be/ryMNX30L9X0?t=1823","channel 1")</f>
        <v>channel 1</v>
      </c>
    </row>
    <row r="96">
      <c r="A96" s="7"/>
      <c r="B96" s="10" t="s">
        <v>50</v>
      </c>
      <c r="C96" s="12" t="s">
        <v>10</v>
      </c>
      <c r="D96" s="10" t="s">
        <v>129</v>
      </c>
      <c r="E96" s="13" t="str">
        <f>HYPERLINK("https://youtu.be/jXXOf1e-4Cs?t=2127","channel 2")</f>
        <v>channel 2</v>
      </c>
    </row>
    <row r="97">
      <c r="A97" s="7"/>
      <c r="B97" s="10" t="s">
        <v>732</v>
      </c>
      <c r="C97" s="12" t="s">
        <v>347</v>
      </c>
      <c r="D97" s="10" t="s">
        <v>727</v>
      </c>
      <c r="E97" s="36" t="str">
        <f>HYPERLINK("https://youtu.be/ryMNX30L9X0?t=2748","channel 1")</f>
        <v>channel 1</v>
      </c>
    </row>
    <row r="98">
      <c r="A98" s="7"/>
      <c r="B98" s="10" t="s">
        <v>356</v>
      </c>
      <c r="C98" s="12" t="s">
        <v>109</v>
      </c>
      <c r="D98" s="10" t="s">
        <v>129</v>
      </c>
      <c r="E98" s="13" t="str">
        <f>HYPERLINK("https://youtu.be/jXXOf1e-4Cs?t=3105","channel 2")</f>
        <v>channel 2</v>
      </c>
    </row>
    <row r="99">
      <c r="A99" s="7"/>
      <c r="B99" s="10" t="s">
        <v>732</v>
      </c>
      <c r="C99" s="12" t="s">
        <v>157</v>
      </c>
      <c r="D99" s="10" t="s">
        <v>50</v>
      </c>
      <c r="E99" s="36" t="str">
        <f>HYPERLINK("https://youtu.be/ryMNX30L9X0?t=3657","channel 1")</f>
        <v>channel 1</v>
      </c>
    </row>
    <row r="100">
      <c r="A100" s="7"/>
      <c r="B100" s="10" t="s">
        <v>356</v>
      </c>
      <c r="C100" s="12" t="s">
        <v>216</v>
      </c>
      <c r="D100" s="10" t="s">
        <v>727</v>
      </c>
      <c r="E100" s="13" t="str">
        <f>HYPERLINK("https://youtu.be/jXXOf1e-4Cs?t=4007","channel 2")</f>
        <v>channel 2</v>
      </c>
    </row>
    <row r="101">
      <c r="A101" s="7"/>
      <c r="B101" s="10" t="s">
        <v>727</v>
      </c>
      <c r="C101" s="12" t="s">
        <v>11</v>
      </c>
      <c r="D101" s="10" t="s">
        <v>129</v>
      </c>
      <c r="E101" s="36" t="str">
        <f>HYPERLINK("https://youtu.be/ryMNX30L9X0?t=4497","channel 1")</f>
        <v>channel 1</v>
      </c>
    </row>
    <row r="102">
      <c r="A102" s="7"/>
      <c r="B102" s="10" t="s">
        <v>356</v>
      </c>
      <c r="C102" s="12" t="s">
        <v>47</v>
      </c>
      <c r="D102" s="10" t="s">
        <v>50</v>
      </c>
      <c r="E102" s="13" t="str">
        <f>HYPERLINK("https://youtu.be/jXXOf1e-4Cs?t=4920","channel 2")</f>
        <v>channel 2</v>
      </c>
    </row>
    <row r="103">
      <c r="A103" s="7"/>
      <c r="B103" s="10" t="s">
        <v>129</v>
      </c>
      <c r="C103" s="12" t="s">
        <v>104</v>
      </c>
      <c r="D103" s="10" t="s">
        <v>732</v>
      </c>
      <c r="E103" s="36" t="str">
        <f>HYPERLINK("https://youtu.be/ryMNX30L9X0?t=5378","channel 1")</f>
        <v>channel 1</v>
      </c>
    </row>
    <row r="104">
      <c r="A104" s="7"/>
      <c r="B104" s="10" t="s">
        <v>727</v>
      </c>
      <c r="C104" s="12" t="s">
        <v>46</v>
      </c>
      <c r="D104" s="10" t="s">
        <v>50</v>
      </c>
      <c r="E104" s="13" t="str">
        <f>HYPERLINK("https://youtu.be/jXXOf1e-4Cs?t=5737","channel 2")</f>
        <v>channel 2</v>
      </c>
    </row>
    <row r="105">
      <c r="A105" s="7"/>
      <c r="B105" s="10" t="s">
        <v>356</v>
      </c>
      <c r="C105" s="12" t="s">
        <v>145</v>
      </c>
      <c r="D105" s="10" t="s">
        <v>732</v>
      </c>
      <c r="E105" s="36" t="str">
        <f>HYPERLINK("https://youtu.be/ryMNX30L9X0?t=6289","channel 1")</f>
        <v>channel 1</v>
      </c>
    </row>
    <row r="106">
      <c r="A106" s="7"/>
      <c r="B106" s="10" t="s">
        <v>129</v>
      </c>
      <c r="C106" s="12" t="s">
        <v>223</v>
      </c>
      <c r="D106" s="10" t="s">
        <v>50</v>
      </c>
      <c r="E106" s="13" t="str">
        <f>HYPERLINK("https://youtu.be/jXXOf1e-4Cs?t=6579","channel 2")</f>
        <v>channel 2</v>
      </c>
    </row>
    <row r="107">
      <c r="A107" s="7"/>
      <c r="B107" s="10" t="s">
        <v>727</v>
      </c>
      <c r="C107" s="12" t="s">
        <v>737</v>
      </c>
      <c r="D107" s="10" t="s">
        <v>732</v>
      </c>
      <c r="E107" s="36" t="str">
        <f>HYPERLINK("https://youtu.be/ryMNX30L9X0?t=7112","channel 1")</f>
        <v>channel 1</v>
      </c>
    </row>
    <row r="108">
      <c r="A108" s="7"/>
      <c r="B108" s="10" t="s">
        <v>129</v>
      </c>
      <c r="C108" s="12" t="s">
        <v>74</v>
      </c>
      <c r="D108" s="10" t="s">
        <v>356</v>
      </c>
      <c r="E108" s="13" t="str">
        <f>HYPERLINK("https://youtu.be/jXXOf1e-4Cs?t=7434","channel 2")</f>
        <v>channel 2</v>
      </c>
    </row>
    <row r="109">
      <c r="A109" s="7"/>
      <c r="B109" s="10" t="s">
        <v>50</v>
      </c>
      <c r="C109" s="12" t="s">
        <v>18</v>
      </c>
      <c r="D109" s="10" t="s">
        <v>732</v>
      </c>
      <c r="E109" s="36" t="str">
        <f>HYPERLINK("https://youtu.be/ryMNX30L9X0?t=7876","channel 1")</f>
        <v>channel 1</v>
      </c>
    </row>
    <row r="110">
      <c r="A110" s="7"/>
      <c r="B110" s="10" t="s">
        <v>727</v>
      </c>
      <c r="C110" s="12" t="s">
        <v>30</v>
      </c>
      <c r="D110" s="10" t="s">
        <v>356</v>
      </c>
      <c r="E110" s="13" t="str">
        <f>HYPERLINK("https://youtu.be/jXXOf1e-4Cs?t=8197","channel 2")</f>
        <v>channel 2</v>
      </c>
    </row>
    <row r="111">
      <c r="A111" s="7"/>
      <c r="B111" s="2" t="s">
        <v>320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10" t="s">
        <v>741</v>
      </c>
      <c r="C113" s="52" t="s">
        <v>145</v>
      </c>
      <c r="D113" s="10" t="s">
        <v>745</v>
      </c>
      <c r="E113" s="36" t="str">
        <f>HYPERLINK("https://youtu.be/d599jD8Q5rc","channel 1")</f>
        <v>channel 1</v>
      </c>
    </row>
    <row r="114">
      <c r="A114" s="7"/>
      <c r="B114" s="10" t="s">
        <v>746</v>
      </c>
      <c r="C114" s="12" t="s">
        <v>308</v>
      </c>
      <c r="D114" s="10" t="s">
        <v>747</v>
      </c>
      <c r="E114" s="13" t="str">
        <f>HYPERLINK("https://youtu.be/msoAov2zlsc","channel 2")</f>
        <v>channel 2</v>
      </c>
      <c r="I114" s="53"/>
    </row>
    <row r="115">
      <c r="A115" s="7"/>
      <c r="B115" s="10" t="s">
        <v>748</v>
      </c>
      <c r="C115" s="12" t="s">
        <v>61</v>
      </c>
      <c r="D115" s="10" t="s">
        <v>741</v>
      </c>
      <c r="E115" s="36" t="str">
        <f>HYPERLINK("https://youtu.be/d599jD8Q5rc?t=920","channel 1")</f>
        <v>channel 1</v>
      </c>
    </row>
    <row r="116">
      <c r="A116" s="7"/>
      <c r="B116" s="10" t="s">
        <v>746</v>
      </c>
      <c r="C116" s="12" t="s">
        <v>551</v>
      </c>
      <c r="D116" s="10" t="s">
        <v>745</v>
      </c>
      <c r="E116" s="13" t="str">
        <f>HYPERLINK("https://youtu.be/msoAov2zlsc?t=1061","channel 2")</f>
        <v>channel 2</v>
      </c>
    </row>
    <row r="117">
      <c r="A117" s="7"/>
      <c r="B117" s="10" t="s">
        <v>748</v>
      </c>
      <c r="C117" s="12" t="s">
        <v>506</v>
      </c>
      <c r="D117" s="10" t="s">
        <v>747</v>
      </c>
      <c r="E117" s="36" t="str">
        <f>HYPERLINK("https://youtu.be/d599jD8Q5rc?t=1851","channel 1")</f>
        <v>channel 1</v>
      </c>
    </row>
    <row r="118">
      <c r="A118" s="7"/>
      <c r="B118" s="10" t="s">
        <v>746</v>
      </c>
      <c r="C118" s="12" t="s">
        <v>10</v>
      </c>
      <c r="D118" s="10" t="s">
        <v>741</v>
      </c>
      <c r="E118" s="13" t="str">
        <f>HYPERLINK("https://youtu.be/msoAov2zlsc?t=2026","channel 2")</f>
        <v>channel 2</v>
      </c>
    </row>
    <row r="119">
      <c r="A119" s="7"/>
      <c r="B119" s="10" t="s">
        <v>748</v>
      </c>
      <c r="C119" s="12" t="s">
        <v>109</v>
      </c>
      <c r="D119" s="10" t="s">
        <v>745</v>
      </c>
      <c r="E119" s="36" t="str">
        <f>HYPERLINK("https://youtu.be/d599jD8Q5rc?t=2803","channel 1")</f>
        <v>channel 1</v>
      </c>
    </row>
    <row r="120">
      <c r="A120" s="7"/>
      <c r="B120" s="10" t="s">
        <v>747</v>
      </c>
      <c r="C120" s="12" t="s">
        <v>145</v>
      </c>
      <c r="D120" s="10" t="s">
        <v>741</v>
      </c>
      <c r="E120" s="13" t="str">
        <f>HYPERLINK("https://youtu.be/msoAov2zlsc?t=2944","channel 2")</f>
        <v>channel 2</v>
      </c>
    </row>
    <row r="121">
      <c r="A121" s="7"/>
      <c r="B121" s="10" t="s">
        <v>748</v>
      </c>
      <c r="C121" s="12" t="s">
        <v>124</v>
      </c>
      <c r="D121" s="10" t="s">
        <v>746</v>
      </c>
      <c r="E121" s="36" t="str">
        <f>HYPERLINK("https://youtu.be/d599jD8Q5rc?t=3731","channel 1")</f>
        <v>channel 1</v>
      </c>
    </row>
    <row r="122">
      <c r="A122" s="7"/>
      <c r="B122" s="10" t="s">
        <v>747</v>
      </c>
      <c r="C122" s="12" t="s">
        <v>124</v>
      </c>
      <c r="D122" s="10" t="s">
        <v>745</v>
      </c>
      <c r="E122" s="13" t="str">
        <f>HYPERLINK("https://youtu.be/msoAov2zlsc?t=3912","channel 2")</f>
        <v>channel 2</v>
      </c>
    </row>
    <row r="123">
      <c r="A123" s="7"/>
      <c r="B123" s="10" t="s">
        <v>745</v>
      </c>
      <c r="C123" s="12" t="s">
        <v>106</v>
      </c>
      <c r="D123" s="10" t="s">
        <v>741</v>
      </c>
      <c r="E123" s="36" t="str">
        <f>HYPERLINK("https://youtu.be/d599jD8Q5rc?t=4673","channel 1")</f>
        <v>channel 1</v>
      </c>
    </row>
    <row r="124">
      <c r="A124" s="7"/>
      <c r="B124" s="10" t="s">
        <v>747</v>
      </c>
      <c r="C124" s="12" t="s">
        <v>146</v>
      </c>
      <c r="D124" s="10" t="s">
        <v>746</v>
      </c>
      <c r="E124" s="13" t="str">
        <f>HYPERLINK("https://youtu.be/msoAov2zlsc?t=4867","channel 2")</f>
        <v>channel 2</v>
      </c>
    </row>
    <row r="125">
      <c r="A125" s="7"/>
      <c r="B125" s="10" t="s">
        <v>741</v>
      </c>
      <c r="C125" s="12" t="s">
        <v>179</v>
      </c>
      <c r="D125" s="10" t="s">
        <v>748</v>
      </c>
      <c r="E125" s="36" t="str">
        <f>HYPERLINK("https://youtu.be/d599jD8Q5rc?t=5597","channel 1")</f>
        <v>channel 1</v>
      </c>
    </row>
    <row r="126">
      <c r="A126" s="7"/>
      <c r="B126" s="10" t="s">
        <v>745</v>
      </c>
      <c r="C126" s="12" t="s">
        <v>358</v>
      </c>
      <c r="D126" s="10" t="s">
        <v>746</v>
      </c>
      <c r="E126" s="13" t="str">
        <f>HYPERLINK("https://youtu.be/msoAov2zlsc?t=5750","channel 2")</f>
        <v>channel 2</v>
      </c>
    </row>
    <row r="127">
      <c r="A127" s="7"/>
      <c r="B127" s="10" t="s">
        <v>747</v>
      </c>
      <c r="C127" s="12" t="s">
        <v>405</v>
      </c>
      <c r="D127" s="10" t="s">
        <v>748</v>
      </c>
      <c r="E127" s="36" t="str">
        <f>HYPERLINK("https://youtu.be/d599jD8Q5rc?t=6506","channel 1")</f>
        <v>channel 1</v>
      </c>
    </row>
    <row r="128">
      <c r="A128" s="7"/>
      <c r="B128" s="10" t="s">
        <v>741</v>
      </c>
      <c r="C128" s="12" t="s">
        <v>46</v>
      </c>
      <c r="D128" s="10" t="s">
        <v>746</v>
      </c>
      <c r="E128" s="13" t="str">
        <f>HYPERLINK("https://youtu.be/msoAov2zlsc?t=6639","channel 2")</f>
        <v>channel 2</v>
      </c>
    </row>
    <row r="129">
      <c r="A129" s="7"/>
      <c r="B129" s="10" t="s">
        <v>745</v>
      </c>
      <c r="C129" s="12" t="s">
        <v>232</v>
      </c>
      <c r="D129" s="10" t="s">
        <v>748</v>
      </c>
      <c r="E129" s="36" t="str">
        <f>HYPERLINK("https://youtu.be/d599jD8Q5rc?t=7373","channel 1")</f>
        <v>channel 1</v>
      </c>
    </row>
    <row r="130">
      <c r="A130" s="7"/>
      <c r="B130" s="10" t="s">
        <v>741</v>
      </c>
      <c r="C130" s="12" t="s">
        <v>145</v>
      </c>
      <c r="D130" s="10" t="s">
        <v>747</v>
      </c>
      <c r="E130" s="13" t="str">
        <f>HYPERLINK("https://youtu.be/msoAov2zlsc?t=7589","channel 2")</f>
        <v>channel 2</v>
      </c>
    </row>
    <row r="131">
      <c r="A131" s="7"/>
      <c r="B131" s="10" t="s">
        <v>746</v>
      </c>
      <c r="C131" s="12" t="s">
        <v>59</v>
      </c>
      <c r="D131" s="10" t="s">
        <v>748</v>
      </c>
      <c r="E131" s="36" t="str">
        <f>HYPERLINK("https://youtu.be/d599jD8Q5rc?t=8256","channel 1")</f>
        <v>channel 1</v>
      </c>
    </row>
    <row r="132">
      <c r="A132" s="25"/>
      <c r="B132" s="10" t="s">
        <v>745</v>
      </c>
      <c r="C132" s="12" t="s">
        <v>30</v>
      </c>
      <c r="D132" s="10" t="s">
        <v>747</v>
      </c>
      <c r="E132" s="13" t="str">
        <f>HYPERLINK("https://youtu.be/msoAov2zlsc?t=8463","channel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668</v>
      </c>
      <c r="C3" s="12" t="s">
        <v>109</v>
      </c>
      <c r="D3" s="10" t="s">
        <v>669</v>
      </c>
      <c r="E3" s="36" t="str">
        <f>HYPERLINK("https://youtu.be/PjsUxXlruJw","channel 1")</f>
        <v>channel 1</v>
      </c>
    </row>
    <row r="4">
      <c r="A4" s="7"/>
      <c r="B4" s="10" t="s">
        <v>670</v>
      </c>
      <c r="C4" s="37" t="s">
        <v>97</v>
      </c>
      <c r="D4" s="10" t="s">
        <v>672</v>
      </c>
      <c r="E4" s="13" t="str">
        <f>HYPERLINK("https://youtu.be/MupdDO2_p8c","channel 2")</f>
        <v>channel 2</v>
      </c>
    </row>
    <row r="5">
      <c r="A5" s="7"/>
      <c r="B5" s="10" t="s">
        <v>673</v>
      </c>
      <c r="C5" s="12" t="s">
        <v>90</v>
      </c>
      <c r="D5" s="10" t="s">
        <v>668</v>
      </c>
      <c r="E5" s="36" t="str">
        <f>HYPERLINK("https://youtu.be/PjsUxXlruJw?t=966","channel 1")</f>
        <v>channel 1</v>
      </c>
    </row>
    <row r="6">
      <c r="A6" s="7"/>
      <c r="B6" s="10" t="s">
        <v>670</v>
      </c>
      <c r="C6" s="12" t="s">
        <v>11</v>
      </c>
      <c r="D6" s="10" t="s">
        <v>669</v>
      </c>
      <c r="E6" s="13" t="str">
        <f>HYPERLINK("https://youtu.be/MupdDO2_p8c?t=836","channel 2")</f>
        <v>channel 2</v>
      </c>
    </row>
    <row r="7">
      <c r="A7" s="7"/>
      <c r="B7" s="10" t="s">
        <v>673</v>
      </c>
      <c r="C7" s="12" t="s">
        <v>322</v>
      </c>
      <c r="D7" s="10" t="s">
        <v>672</v>
      </c>
      <c r="E7" s="36" t="str">
        <f>HYPERLINK("https://youtu.be/PjsUxXlruJw?t=1895","channel 1")</f>
        <v>channel 1</v>
      </c>
    </row>
    <row r="8">
      <c r="A8" s="7"/>
      <c r="B8" s="10" t="s">
        <v>670</v>
      </c>
      <c r="C8" s="12" t="s">
        <v>674</v>
      </c>
      <c r="D8" s="10" t="s">
        <v>668</v>
      </c>
      <c r="E8" s="13" t="str">
        <f>HYPERLINK("https://youtu.be/MupdDO2_p8c?t=1835","channel 2")</f>
        <v>channel 2</v>
      </c>
    </row>
    <row r="9">
      <c r="A9" s="7"/>
      <c r="B9" s="10" t="s">
        <v>673</v>
      </c>
      <c r="C9" s="12" t="s">
        <v>141</v>
      </c>
      <c r="D9" s="10" t="s">
        <v>669</v>
      </c>
      <c r="E9" s="36" t="str">
        <f>HYPERLINK("https://youtu.be/PjsUxXlruJw?t=2774","channel 1")</f>
        <v>channel 1</v>
      </c>
    </row>
    <row r="10">
      <c r="A10" s="7"/>
      <c r="B10" s="10" t="s">
        <v>672</v>
      </c>
      <c r="C10" s="12" t="s">
        <v>104</v>
      </c>
      <c r="D10" s="10" t="s">
        <v>668</v>
      </c>
      <c r="E10" s="13" t="str">
        <f>HYPERLINK("https://youtu.be/MupdDO2_p8c?t=2851","channel 2")</f>
        <v>channel 2</v>
      </c>
    </row>
    <row r="11">
      <c r="A11" s="7"/>
      <c r="B11" s="10" t="s">
        <v>673</v>
      </c>
      <c r="C11" s="12" t="s">
        <v>74</v>
      </c>
      <c r="D11" s="10" t="s">
        <v>670</v>
      </c>
      <c r="E11" s="36" t="str">
        <f>HYPERLINK("https://youtu.be/PjsUxXlruJw?t=3697","channel 1")</f>
        <v>channel 1</v>
      </c>
    </row>
    <row r="12">
      <c r="A12" s="7"/>
      <c r="B12" s="10" t="s">
        <v>672</v>
      </c>
      <c r="C12" s="12" t="s">
        <v>77</v>
      </c>
      <c r="D12" s="10" t="s">
        <v>669</v>
      </c>
      <c r="E12" s="13" t="str">
        <f>HYPERLINK("https://youtu.be/MupdDO2_p8c?t=3687","channel 2")</f>
        <v>channel 2</v>
      </c>
    </row>
    <row r="13">
      <c r="A13" s="7"/>
      <c r="B13" s="10" t="s">
        <v>669</v>
      </c>
      <c r="C13" s="12" t="s">
        <v>135</v>
      </c>
      <c r="D13" s="10" t="s">
        <v>668</v>
      </c>
      <c r="E13" s="36" t="str">
        <f>HYPERLINK("https://youtu.be/PjsUxXlruJw?t=4684","channel 1")</f>
        <v>channel 1</v>
      </c>
    </row>
    <row r="14">
      <c r="A14" s="7"/>
      <c r="B14" s="10" t="s">
        <v>672</v>
      </c>
      <c r="C14" s="12" t="s">
        <v>90</v>
      </c>
      <c r="D14" s="10" t="s">
        <v>670</v>
      </c>
      <c r="E14" s="13" t="str">
        <f>HYPERLINK("https://youtu.be/MupdDO2_p8c?t=4596","channel 2")</f>
        <v>channel 2</v>
      </c>
    </row>
    <row r="15">
      <c r="A15" s="7"/>
      <c r="B15" s="10" t="s">
        <v>668</v>
      </c>
      <c r="C15" s="12" t="s">
        <v>27</v>
      </c>
      <c r="D15" s="10" t="s">
        <v>673</v>
      </c>
      <c r="E15" s="36" t="str">
        <f>HYPERLINK("https://youtu.be/PjsUxXlruJw?t=5597","channel 1")</f>
        <v>channel 1</v>
      </c>
    </row>
    <row r="16">
      <c r="A16" s="7"/>
      <c r="B16" s="10" t="s">
        <v>669</v>
      </c>
      <c r="C16" s="12" t="s">
        <v>375</v>
      </c>
      <c r="D16" s="10" t="s">
        <v>670</v>
      </c>
      <c r="E16" s="13" t="str">
        <f>HYPERLINK("https://youtu.be/MupdDO2_p8c?t=5505","channel 2")</f>
        <v>channel 2</v>
      </c>
    </row>
    <row r="17">
      <c r="A17" s="7"/>
      <c r="B17" s="10" t="s">
        <v>672</v>
      </c>
      <c r="C17" s="12" t="s">
        <v>46</v>
      </c>
      <c r="D17" s="10" t="s">
        <v>673</v>
      </c>
      <c r="E17" s="36" t="str">
        <f>HYPERLINK("https://youtu.be/PjsUxXlruJw?t=6480","channel 1")</f>
        <v>channel 1</v>
      </c>
    </row>
    <row r="18">
      <c r="A18" s="7"/>
      <c r="B18" s="10" t="s">
        <v>668</v>
      </c>
      <c r="C18" s="12" t="s">
        <v>462</v>
      </c>
      <c r="D18" s="10" t="s">
        <v>670</v>
      </c>
      <c r="E18" s="13" t="str">
        <f>HYPERLINK("https://youtu.be/MupdDO2_p8c?t=6539","channel 2")</f>
        <v>channel 2</v>
      </c>
    </row>
    <row r="19">
      <c r="A19" s="7"/>
      <c r="B19" s="10" t="s">
        <v>669</v>
      </c>
      <c r="C19" s="12" t="s">
        <v>145</v>
      </c>
      <c r="D19" s="10" t="s">
        <v>673</v>
      </c>
      <c r="E19" s="36" t="str">
        <f>HYPERLINK("https://youtu.be/PjsUxXlruJw?t=7305","channel 1")</f>
        <v>channel 1</v>
      </c>
    </row>
    <row r="20">
      <c r="A20" s="7"/>
      <c r="B20" s="10" t="s">
        <v>668</v>
      </c>
      <c r="C20" s="12" t="s">
        <v>278</v>
      </c>
      <c r="D20" s="10" t="s">
        <v>672</v>
      </c>
      <c r="E20" s="13" t="str">
        <f>HYPERLINK("https://youtu.be/MupdDO2_p8c?t=7402","channel 2")</f>
        <v>channel 2</v>
      </c>
    </row>
    <row r="21">
      <c r="A21" s="7"/>
      <c r="B21" s="10" t="s">
        <v>670</v>
      </c>
      <c r="C21" s="12" t="s">
        <v>204</v>
      </c>
      <c r="D21" s="10" t="s">
        <v>673</v>
      </c>
      <c r="E21" s="36" t="str">
        <f>HYPERLINK("https://youtu.be/PjsUxXlruJw?t=8540","channel 1")</f>
        <v>channel 1</v>
      </c>
    </row>
    <row r="22">
      <c r="A22" s="7"/>
      <c r="B22" s="10" t="s">
        <v>669</v>
      </c>
      <c r="C22" s="12" t="s">
        <v>18</v>
      </c>
      <c r="D22" s="10" t="s">
        <v>672</v>
      </c>
      <c r="E22" s="13" t="str">
        <f>HYPERLINK("https://youtu.be/MupdDO2_p8c?t=8347","channel 2")</f>
        <v>channel 2</v>
      </c>
    </row>
    <row r="23">
      <c r="A23" s="7"/>
      <c r="B23" s="2" t="s">
        <v>329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123</v>
      </c>
      <c r="C25" s="12" t="s">
        <v>180</v>
      </c>
      <c r="D25" s="10" t="s">
        <v>335</v>
      </c>
      <c r="E25" s="36" t="str">
        <f>HYPERLINK("https://youtu.be/HSUlPsfjqeU","channel 1")</f>
        <v>channel 1</v>
      </c>
    </row>
    <row r="26">
      <c r="A26" s="7"/>
      <c r="B26" s="10" t="s">
        <v>688</v>
      </c>
      <c r="C26" s="12" t="s">
        <v>157</v>
      </c>
      <c r="D26" s="10" t="s">
        <v>689</v>
      </c>
      <c r="E26" s="13" t="str">
        <f>HYPERLINK("https://youtu.be/LRNsMyGQyVg","channel 2")</f>
        <v>channel 2</v>
      </c>
    </row>
    <row r="27">
      <c r="A27" s="7"/>
      <c r="B27" s="10" t="s">
        <v>690</v>
      </c>
      <c r="C27" s="12" t="s">
        <v>46</v>
      </c>
      <c r="D27" s="10" t="s">
        <v>123</v>
      </c>
      <c r="E27" s="36" t="str">
        <f>HYPERLINK("https://youtu.be/HSUlPsfjqeU?t=963","channel 1")</f>
        <v>channel 1</v>
      </c>
    </row>
    <row r="28">
      <c r="A28" s="7"/>
      <c r="B28" s="10" t="s">
        <v>688</v>
      </c>
      <c r="C28" s="12" t="s">
        <v>11</v>
      </c>
      <c r="D28" s="10" t="s">
        <v>335</v>
      </c>
      <c r="E28" s="13" t="str">
        <f>HYPERLINK("https://youtu.be/LRNsMyGQyVg?t=963","channel 2")</f>
        <v>channel 2</v>
      </c>
    </row>
    <row r="29">
      <c r="A29" s="7"/>
      <c r="B29" s="10" t="s">
        <v>690</v>
      </c>
      <c r="C29" s="12" t="s">
        <v>24</v>
      </c>
      <c r="D29" s="10" t="s">
        <v>689</v>
      </c>
      <c r="E29" s="36" t="str">
        <f>HYPERLINK("https://youtu.be/HSUlPsfjqeU?t=1893","channel 1")</f>
        <v>channel 1</v>
      </c>
    </row>
    <row r="30">
      <c r="A30" s="7"/>
      <c r="B30" s="10" t="s">
        <v>688</v>
      </c>
      <c r="C30" s="12" t="s">
        <v>296</v>
      </c>
      <c r="D30" s="10" t="s">
        <v>123</v>
      </c>
      <c r="E30" s="13" t="str">
        <f>HYPERLINK("https://youtu.be/LRNsMyGQyVg?t=1855","channel 2")</f>
        <v>channel 2</v>
      </c>
    </row>
    <row r="31">
      <c r="A31" s="7"/>
      <c r="B31" s="10" t="s">
        <v>690</v>
      </c>
      <c r="C31" s="12" t="s">
        <v>97</v>
      </c>
      <c r="D31" s="10" t="s">
        <v>335</v>
      </c>
      <c r="E31" s="36" t="str">
        <f>HYPERLINK("https://youtu.be/HSUlPsfjqeU?t=2762","channel 1")</f>
        <v>channel 1</v>
      </c>
    </row>
    <row r="32">
      <c r="A32" s="7"/>
      <c r="B32" s="10" t="s">
        <v>689</v>
      </c>
      <c r="C32" s="12" t="s">
        <v>296</v>
      </c>
      <c r="D32" s="10" t="s">
        <v>123</v>
      </c>
      <c r="E32" s="13" t="str">
        <f>HYPERLINK("https://youtu.be/LRNsMyGQyVg?t=2748","channel 2")</f>
        <v>channel 2</v>
      </c>
    </row>
    <row r="33">
      <c r="A33" s="7"/>
      <c r="B33" s="10" t="s">
        <v>690</v>
      </c>
      <c r="C33" s="12" t="s">
        <v>124</v>
      </c>
      <c r="D33" s="10" t="s">
        <v>688</v>
      </c>
      <c r="E33" s="36" t="str">
        <f>HYPERLINK("https://youtu.be/HSUlPsfjqeU?t=3486","channel 1")</f>
        <v>channel 1</v>
      </c>
    </row>
    <row r="34">
      <c r="A34" s="7"/>
      <c r="B34" s="10" t="s">
        <v>689</v>
      </c>
      <c r="C34" s="12" t="s">
        <v>33</v>
      </c>
      <c r="D34" s="10" t="s">
        <v>335</v>
      </c>
      <c r="E34" s="13" t="str">
        <f>HYPERLINK("https://youtu.be/LRNsMyGQyVg?t=3428","channel 2")</f>
        <v>channel 2</v>
      </c>
    </row>
    <row r="35">
      <c r="A35" s="7"/>
      <c r="B35" s="10" t="s">
        <v>335</v>
      </c>
      <c r="C35" s="12" t="s">
        <v>572</v>
      </c>
      <c r="D35" s="10" t="s">
        <v>123</v>
      </c>
      <c r="E35" s="36" t="str">
        <f>HYPERLINK("https://youtu.be/HSUlPsfjqeU?t=4416","channel 1")</f>
        <v>channel 1</v>
      </c>
    </row>
    <row r="36">
      <c r="A36" s="7"/>
      <c r="B36" s="10" t="s">
        <v>689</v>
      </c>
      <c r="C36" s="12" t="s">
        <v>46</v>
      </c>
      <c r="D36" s="10" t="s">
        <v>688</v>
      </c>
      <c r="E36" s="13" t="str">
        <f>HYPERLINK("https://youtu.be/LRNsMyGQyVg?t=4293","channel 2")</f>
        <v>channel 2</v>
      </c>
    </row>
    <row r="37">
      <c r="A37" s="7"/>
      <c r="B37" s="10" t="s">
        <v>123</v>
      </c>
      <c r="C37" s="12" t="s">
        <v>232</v>
      </c>
      <c r="D37" s="10" t="s">
        <v>690</v>
      </c>
      <c r="E37" s="36" t="str">
        <f>HYPERLINK("https://youtu.be/HSUlPsfjqeU?t=5282","channel 1")</f>
        <v>channel 1</v>
      </c>
    </row>
    <row r="38">
      <c r="A38" s="7"/>
      <c r="B38" s="10" t="s">
        <v>335</v>
      </c>
      <c r="C38" s="12" t="s">
        <v>308</v>
      </c>
      <c r="D38" s="10" t="s">
        <v>688</v>
      </c>
      <c r="E38" s="13" t="str">
        <f>HYPERLINK("https://youtu.be/LRNsMyGQyVg?t=5140","channel 2")</f>
        <v>channel 2</v>
      </c>
    </row>
    <row r="39">
      <c r="A39" s="7"/>
      <c r="B39" s="10" t="s">
        <v>689</v>
      </c>
      <c r="C39" s="18" t="s">
        <v>148</v>
      </c>
      <c r="D39" s="10" t="s">
        <v>690</v>
      </c>
      <c r="E39" s="36" t="str">
        <f>HYPERLINK("https://youtu.be/HSUlPsfjqeU?t=6145","channel 1")</f>
        <v>channel 1</v>
      </c>
    </row>
    <row r="40">
      <c r="A40" s="7"/>
      <c r="B40" s="10" t="s">
        <v>123</v>
      </c>
      <c r="C40" s="12" t="s">
        <v>103</v>
      </c>
      <c r="D40" s="10" t="s">
        <v>688</v>
      </c>
      <c r="E40" s="13" t="str">
        <f>HYPERLINK("https://youtu.be/LRNsMyGQyVg?t=6097","channel 2")</f>
        <v>channel 2</v>
      </c>
    </row>
    <row r="41">
      <c r="A41" s="7"/>
      <c r="B41" s="10" t="s">
        <v>335</v>
      </c>
      <c r="C41" s="12" t="s">
        <v>10</v>
      </c>
      <c r="D41" s="10" t="s">
        <v>690</v>
      </c>
      <c r="E41" s="36" t="str">
        <f>HYPERLINK("https://youtu.be/HSUlPsfjqeU?t=7002","channel 1")</f>
        <v>channel 1</v>
      </c>
    </row>
    <row r="42">
      <c r="A42" s="7"/>
      <c r="B42" s="10" t="s">
        <v>123</v>
      </c>
      <c r="C42" s="12" t="s">
        <v>24</v>
      </c>
      <c r="D42" s="10" t="s">
        <v>689</v>
      </c>
      <c r="E42" s="13" t="str">
        <f>HYPERLINK("https://youtu.be/LRNsMyGQyVg?t=7055","channel 2")</f>
        <v>channel 2</v>
      </c>
    </row>
    <row r="43">
      <c r="A43" s="7"/>
      <c r="B43" s="10" t="s">
        <v>688</v>
      </c>
      <c r="C43" s="12" t="s">
        <v>160</v>
      </c>
      <c r="D43" s="10" t="s">
        <v>690</v>
      </c>
      <c r="E43" s="36" t="str">
        <f>HYPERLINK("https://youtu.be/HSUlPsfjqeU?t=7870","channel 1")</f>
        <v>channel 1</v>
      </c>
    </row>
    <row r="44">
      <c r="A44" s="7"/>
      <c r="B44" s="10" t="s">
        <v>335</v>
      </c>
      <c r="C44" s="12" t="s">
        <v>180</v>
      </c>
      <c r="D44" s="10" t="s">
        <v>689</v>
      </c>
      <c r="E44" s="13" t="str">
        <f>HYPERLINK("https://youtu.be/LRNsMyGQyVg?t=7906","channel 2")</f>
        <v>channel 2</v>
      </c>
    </row>
    <row r="45">
      <c r="A45" s="7"/>
      <c r="B45" s="2" t="s">
        <v>700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703</v>
      </c>
      <c r="C47" s="12" t="s">
        <v>310</v>
      </c>
      <c r="D47" s="10" t="s">
        <v>704</v>
      </c>
      <c r="E47" s="36" t="str">
        <f>HYPERLINK("https://youtu.be/kg998J6wICA","channel 1")</f>
        <v>channel 1</v>
      </c>
    </row>
    <row r="48">
      <c r="A48" s="7"/>
      <c r="B48" s="10" t="s">
        <v>705</v>
      </c>
      <c r="C48" s="12" t="s">
        <v>322</v>
      </c>
      <c r="D48" s="10" t="s">
        <v>706</v>
      </c>
      <c r="E48" s="13" t="str">
        <f>HYPERLINK("https://youtu.be/kATZ_IpLLTI","channel 2")</f>
        <v>channel 2</v>
      </c>
    </row>
    <row r="49">
      <c r="A49" s="7"/>
      <c r="B49" s="10" t="s">
        <v>677</v>
      </c>
      <c r="C49" s="12" t="s">
        <v>337</v>
      </c>
      <c r="D49" s="10" t="s">
        <v>703</v>
      </c>
      <c r="E49" s="36" t="str">
        <f>HYPERLINK("https://youtu.be/kg998J6wICA?t=978","channel 1")</f>
        <v>channel 1</v>
      </c>
    </row>
    <row r="50">
      <c r="A50" s="7"/>
      <c r="B50" s="10" t="s">
        <v>705</v>
      </c>
      <c r="C50" s="12" t="s">
        <v>393</v>
      </c>
      <c r="D50" s="10" t="s">
        <v>704</v>
      </c>
      <c r="E50" s="13" t="str">
        <f>HYPERLINK("https://youtu.be/kATZ_IpLLTI?t=984","channel 2")</f>
        <v>channel 2</v>
      </c>
    </row>
    <row r="51">
      <c r="A51" s="7"/>
      <c r="B51" s="10" t="s">
        <v>677</v>
      </c>
      <c r="C51" s="12" t="s">
        <v>46</v>
      </c>
      <c r="D51" s="10" t="s">
        <v>706</v>
      </c>
      <c r="E51" s="36" t="str">
        <f>HYPERLINK("https://youtu.be/kg998J6wICA?t=1895","channel 1")</f>
        <v>channel 1</v>
      </c>
    </row>
    <row r="52">
      <c r="A52" s="7"/>
      <c r="B52" s="10" t="s">
        <v>705</v>
      </c>
      <c r="C52" s="12" t="s">
        <v>135</v>
      </c>
      <c r="D52" s="10" t="s">
        <v>703</v>
      </c>
      <c r="E52" s="13" t="str">
        <f>HYPERLINK("https://youtu.be/kATZ_IpLLTI?t=1885","channel 2")</f>
        <v>channel 2</v>
      </c>
    </row>
    <row r="53">
      <c r="A53" s="7"/>
      <c r="B53" s="10" t="s">
        <v>677</v>
      </c>
      <c r="C53" s="12" t="s">
        <v>223</v>
      </c>
      <c r="D53" s="10" t="s">
        <v>704</v>
      </c>
      <c r="E53" s="36" t="str">
        <f>HYPERLINK("https://youtu.be/kg998J6wICA?t=2765","channel 1")</f>
        <v>channel 1</v>
      </c>
    </row>
    <row r="54">
      <c r="A54" s="7"/>
      <c r="B54" s="10" t="s">
        <v>706</v>
      </c>
      <c r="C54" s="12" t="s">
        <v>452</v>
      </c>
      <c r="D54" s="10" t="s">
        <v>703</v>
      </c>
      <c r="E54" s="13" t="str">
        <f>HYPERLINK("https://youtu.be/kATZ_IpLLTI?t=2832","channel 2")</f>
        <v>channel 2</v>
      </c>
    </row>
    <row r="55">
      <c r="A55" s="7"/>
      <c r="B55" s="10" t="s">
        <v>677</v>
      </c>
      <c r="C55" s="12" t="s">
        <v>46</v>
      </c>
      <c r="D55" s="10" t="s">
        <v>705</v>
      </c>
      <c r="E55" s="36" t="str">
        <f>HYPERLINK("https://youtu.be/kg998J6wICA?t=3723","channel 1")</f>
        <v>channel 1</v>
      </c>
    </row>
    <row r="56">
      <c r="A56" s="7"/>
      <c r="B56" s="10" t="s">
        <v>706</v>
      </c>
      <c r="C56" s="12" t="s">
        <v>77</v>
      </c>
      <c r="D56" s="10" t="s">
        <v>704</v>
      </c>
      <c r="E56" s="13" t="str">
        <f>HYPERLINK("https://youtu.be/kATZ_IpLLTI?t=3706","channel 2")</f>
        <v>channel 2</v>
      </c>
    </row>
    <row r="57">
      <c r="A57" s="7"/>
      <c r="B57" s="10" t="s">
        <v>704</v>
      </c>
      <c r="C57" s="12" t="s">
        <v>538</v>
      </c>
      <c r="D57" s="10" t="s">
        <v>703</v>
      </c>
      <c r="E57" s="36" t="str">
        <f>HYPERLINK("https://youtu.be/kg998J6wICA?t=4627","channel 1")</f>
        <v>channel 1</v>
      </c>
    </row>
    <row r="58">
      <c r="A58" s="7"/>
      <c r="B58" s="10" t="s">
        <v>706</v>
      </c>
      <c r="C58" s="12" t="s">
        <v>84</v>
      </c>
      <c r="D58" s="10" t="s">
        <v>705</v>
      </c>
      <c r="E58" s="13" t="str">
        <f>HYPERLINK("https://youtu.be/kATZ_IpLLTI?t=4603","channel 2")</f>
        <v>channel 2</v>
      </c>
    </row>
    <row r="59">
      <c r="A59" s="7"/>
      <c r="B59" s="10" t="s">
        <v>703</v>
      </c>
      <c r="C59" s="12" t="s">
        <v>210</v>
      </c>
      <c r="D59" s="10" t="s">
        <v>677</v>
      </c>
      <c r="E59" s="36" t="str">
        <f>HYPERLINK("https://youtu.be/kg998J6wICA?t=5607","channel 1")</f>
        <v>channel 1</v>
      </c>
    </row>
    <row r="60">
      <c r="A60" s="7"/>
      <c r="B60" s="10" t="s">
        <v>704</v>
      </c>
      <c r="C60" s="12" t="s">
        <v>141</v>
      </c>
      <c r="D60" s="10" t="s">
        <v>705</v>
      </c>
      <c r="E60" s="13" t="str">
        <f>HYPERLINK("https://youtu.be/kATZ_IpLLTI?t=5521","channel 2")</f>
        <v>channel 2</v>
      </c>
    </row>
    <row r="61">
      <c r="A61" s="7"/>
      <c r="B61" s="10" t="s">
        <v>706</v>
      </c>
      <c r="C61" s="12" t="s">
        <v>365</v>
      </c>
      <c r="D61" s="10" t="s">
        <v>677</v>
      </c>
      <c r="E61" s="36" t="str">
        <f>HYPERLINK("https://youtu.be/kg998J6wICA?t=6504","channel 1")</f>
        <v>channel 1</v>
      </c>
    </row>
    <row r="62">
      <c r="A62" s="7"/>
      <c r="B62" s="10" t="s">
        <v>703</v>
      </c>
      <c r="C62" s="18" t="s">
        <v>74</v>
      </c>
      <c r="D62" s="10" t="s">
        <v>705</v>
      </c>
      <c r="E62" s="13" t="str">
        <f>HYPERLINK("https://youtu.be/kATZ_IpLLTI?t=6519","channel 2")</f>
        <v>channel 2</v>
      </c>
    </row>
    <row r="63">
      <c r="A63" s="7"/>
      <c r="B63" s="10" t="s">
        <v>704</v>
      </c>
      <c r="C63" s="12" t="s">
        <v>157</v>
      </c>
      <c r="D63" s="10" t="s">
        <v>677</v>
      </c>
      <c r="E63" s="36" t="str">
        <f>HYPERLINK("https://youtu.be/kg998J6wICA?t=7461","channel 1")</f>
        <v>channel 1</v>
      </c>
    </row>
    <row r="64">
      <c r="A64" s="7"/>
      <c r="B64" s="10" t="s">
        <v>703</v>
      </c>
      <c r="C64" s="12" t="s">
        <v>106</v>
      </c>
      <c r="D64" s="10" t="s">
        <v>706</v>
      </c>
      <c r="E64" s="13" t="str">
        <f>HYPERLINK("https://youtu.be/kATZ_IpLLTI?t=7519","channel 2")</f>
        <v>channel 2</v>
      </c>
    </row>
    <row r="65">
      <c r="A65" s="7"/>
      <c r="B65" s="10" t="s">
        <v>705</v>
      </c>
      <c r="C65" s="12" t="s">
        <v>34</v>
      </c>
      <c r="D65" s="10" t="s">
        <v>677</v>
      </c>
      <c r="E65" s="36" t="str">
        <f>HYPERLINK("https://youtu.be/kg998J6wICA?t=8494","channel 1")</f>
        <v>channel 1</v>
      </c>
    </row>
    <row r="66">
      <c r="A66" s="7"/>
      <c r="B66" s="10" t="s">
        <v>704</v>
      </c>
      <c r="C66" s="12" t="s">
        <v>213</v>
      </c>
      <c r="D66" s="10" t="s">
        <v>706</v>
      </c>
      <c r="E66" s="13" t="str">
        <f>HYPERLINK("https://youtu.be/kATZ_IpLLTI?t=8487","channel 2")</f>
        <v>channel 2</v>
      </c>
    </row>
    <row r="67">
      <c r="A67" s="7"/>
      <c r="B67" s="42" t="s">
        <v>240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713</v>
      </c>
      <c r="C69" s="12" t="s">
        <v>10</v>
      </c>
      <c r="D69" s="10" t="s">
        <v>715</v>
      </c>
      <c r="E69" s="36" t="str">
        <f>HYPERLINK("https://youtu.be/9dTOsQGBkIw","channel 1")</f>
        <v>channel 1</v>
      </c>
    </row>
    <row r="70">
      <c r="A70" s="7"/>
      <c r="B70" s="10" t="s">
        <v>717</v>
      </c>
      <c r="C70" s="12" t="s">
        <v>93</v>
      </c>
      <c r="D70" s="10" t="s">
        <v>718</v>
      </c>
      <c r="E70" s="13" t="str">
        <f>HYPERLINK("https://youtu.be/SMoGPju2XT8","channel 2")</f>
        <v>channel 2</v>
      </c>
    </row>
    <row r="71">
      <c r="A71" s="7"/>
      <c r="B71" s="10" t="s">
        <v>720</v>
      </c>
      <c r="C71" s="12" t="s">
        <v>97</v>
      </c>
      <c r="D71" s="10" t="s">
        <v>713</v>
      </c>
      <c r="E71" s="36" t="str">
        <f>HYPERLINK("https://youtu.be/9dTOsQGBkIw?t=954","channel 1")</f>
        <v>channel 1</v>
      </c>
    </row>
    <row r="72">
      <c r="A72" s="7"/>
      <c r="B72" s="10" t="s">
        <v>717</v>
      </c>
      <c r="C72" s="12" t="s">
        <v>106</v>
      </c>
      <c r="D72" s="10" t="s">
        <v>715</v>
      </c>
      <c r="E72" s="13" t="str">
        <f>HYPERLINK("https://youtu.be/SMoGPju2XT8?t=1121","channel 2")</f>
        <v>channel 2</v>
      </c>
    </row>
    <row r="73">
      <c r="A73" s="7"/>
      <c r="B73" s="10" t="s">
        <v>720</v>
      </c>
      <c r="C73" s="12" t="s">
        <v>319</v>
      </c>
      <c r="D73" s="10" t="s">
        <v>718</v>
      </c>
      <c r="E73" s="36" t="str">
        <f>HYPERLINK("https://youtu.be/9dTOsQGBkIw?t=1895","channel 1")</f>
        <v>channel 1</v>
      </c>
    </row>
    <row r="74">
      <c r="A74" s="7"/>
      <c r="B74" s="10" t="s">
        <v>717</v>
      </c>
      <c r="C74" s="12" t="s">
        <v>156</v>
      </c>
      <c r="D74" s="10" t="s">
        <v>713</v>
      </c>
      <c r="E74" s="13" t="str">
        <f>HYPERLINK("https://youtu.be/SMoGPju2XT8?t=2165","channel 2")</f>
        <v>channel 2</v>
      </c>
    </row>
    <row r="75">
      <c r="A75" s="7"/>
      <c r="B75" s="10" t="s">
        <v>720</v>
      </c>
      <c r="C75" s="12" t="s">
        <v>82</v>
      </c>
      <c r="D75" s="10" t="s">
        <v>715</v>
      </c>
      <c r="E75" s="36" t="str">
        <f>HYPERLINK("https://youtu.be/9dTOsQGBkIw?t=2922","channel 1")</f>
        <v>channel 1</v>
      </c>
    </row>
    <row r="76">
      <c r="A76" s="7"/>
      <c r="B76" s="10" t="s">
        <v>718</v>
      </c>
      <c r="C76" s="12" t="s">
        <v>37</v>
      </c>
      <c r="D76" s="10" t="s">
        <v>713</v>
      </c>
      <c r="E76" s="13" t="str">
        <f>HYPERLINK("https://youtu.be/SMoGPju2XT8?t=3105","channel 2")</f>
        <v>channel 2</v>
      </c>
    </row>
    <row r="77">
      <c r="A77" s="7"/>
      <c r="B77" s="10" t="s">
        <v>720</v>
      </c>
      <c r="C77" s="12" t="s">
        <v>337</v>
      </c>
      <c r="D77" s="10" t="s">
        <v>717</v>
      </c>
      <c r="E77" s="36" t="str">
        <f>HYPERLINK("https://youtu.be/9dTOsQGBkIw?t=3906","channel 1")</f>
        <v>channel 1</v>
      </c>
    </row>
    <row r="78">
      <c r="A78" s="7"/>
      <c r="B78" s="10" t="s">
        <v>718</v>
      </c>
      <c r="C78" s="12" t="s">
        <v>723</v>
      </c>
      <c r="D78" s="10" t="s">
        <v>715</v>
      </c>
      <c r="E78" s="13" t="str">
        <f>HYPERLINK("https://youtu.be/SMoGPju2XT8?t=4158","channel 2")</f>
        <v>channel 2</v>
      </c>
    </row>
    <row r="79">
      <c r="A79" s="7"/>
      <c r="B79" s="10" t="s">
        <v>715</v>
      </c>
      <c r="C79" s="12" t="s">
        <v>724</v>
      </c>
      <c r="D79" s="10" t="s">
        <v>713</v>
      </c>
      <c r="E79" s="36" t="str">
        <f>HYPERLINK("https://youtu.be/9dTOsQGBkIw?t=5041","channel 1")</f>
        <v>channel 1</v>
      </c>
    </row>
    <row r="80">
      <c r="A80" s="7"/>
      <c r="B80" s="10" t="s">
        <v>718</v>
      </c>
      <c r="C80" s="12" t="s">
        <v>85</v>
      </c>
      <c r="D80" s="10" t="s">
        <v>717</v>
      </c>
      <c r="E80" s="13" t="str">
        <f>HYPERLINK("https://youtu.be/SMoGPju2XT8?t=5229","channel 2")</f>
        <v>channel 2</v>
      </c>
    </row>
    <row r="81">
      <c r="A81" s="7"/>
      <c r="B81" s="10" t="s">
        <v>713</v>
      </c>
      <c r="C81" s="12" t="s">
        <v>278</v>
      </c>
      <c r="D81" s="10" t="s">
        <v>720</v>
      </c>
      <c r="E81" s="36" t="str">
        <f>HYPERLINK("https://youtu.be/9dTOsQGBkIw?t=5957","channel 1")</f>
        <v>channel 1</v>
      </c>
    </row>
    <row r="82">
      <c r="A82" s="7"/>
      <c r="B82" s="10" t="s">
        <v>715</v>
      </c>
      <c r="C82" s="12" t="s">
        <v>194</v>
      </c>
      <c r="D82" s="10" t="s">
        <v>717</v>
      </c>
      <c r="E82" s="13" t="str">
        <f>HYPERLINK("https://youtu.be/SMoGPju2XT8?t=6215","channel 2")</f>
        <v>channel 2</v>
      </c>
    </row>
    <row r="83">
      <c r="A83" s="7"/>
      <c r="B83" s="10" t="s">
        <v>718</v>
      </c>
      <c r="C83" s="12" t="s">
        <v>18</v>
      </c>
      <c r="D83" s="10" t="s">
        <v>720</v>
      </c>
      <c r="E83" s="36" t="str">
        <f>HYPERLINK("https://youtu.be/9dTOsQGBkIw?t=7002","channel 1")</f>
        <v>channel 1</v>
      </c>
    </row>
    <row r="84">
      <c r="A84" s="7"/>
      <c r="B84" s="10" t="s">
        <v>713</v>
      </c>
      <c r="C84" s="12" t="s">
        <v>99</v>
      </c>
      <c r="D84" s="10" t="s">
        <v>717</v>
      </c>
      <c r="E84" s="13" t="str">
        <f>HYPERLINK("https://youtu.be/SMoGPju2XT8?t=7143","channel 2")</f>
        <v>channel 2</v>
      </c>
    </row>
    <row r="85">
      <c r="A85" s="7"/>
      <c r="B85" s="10" t="s">
        <v>715</v>
      </c>
      <c r="C85" s="12" t="s">
        <v>56</v>
      </c>
      <c r="D85" s="10" t="s">
        <v>720</v>
      </c>
      <c r="E85" s="36" t="str">
        <f>HYPERLINK("https://youtu.be/9dTOsQGBkIw?t=7993","channel 1")</f>
        <v>channel 1</v>
      </c>
    </row>
    <row r="86">
      <c r="A86" s="7"/>
      <c r="B86" s="10" t="s">
        <v>713</v>
      </c>
      <c r="C86" s="12" t="s">
        <v>157</v>
      </c>
      <c r="D86" s="10" t="s">
        <v>718</v>
      </c>
      <c r="E86" s="13" t="str">
        <f>HYPERLINK("https://youtu.be/SMoGPju2XT8?t=8085","channel 2")</f>
        <v>channel 2</v>
      </c>
    </row>
    <row r="87">
      <c r="A87" s="7"/>
      <c r="B87" s="10" t="s">
        <v>717</v>
      </c>
      <c r="C87" s="12" t="s">
        <v>372</v>
      </c>
      <c r="D87" s="10" t="s">
        <v>720</v>
      </c>
      <c r="E87" s="36" t="str">
        <f>HYPERLINK("https://youtu.be/9dTOsQGBkIw?t=8856","channel 1")</f>
        <v>channel 1</v>
      </c>
    </row>
    <row r="88">
      <c r="A88" s="7"/>
      <c r="B88" s="10" t="s">
        <v>715</v>
      </c>
      <c r="C88" s="12" t="s">
        <v>135</v>
      </c>
      <c r="D88" s="10" t="s">
        <v>718</v>
      </c>
      <c r="E88" s="13" t="str">
        <f>HYPERLINK("https://youtu.be/SMoGPju2XT8?t=8986","channel 2")</f>
        <v>channel 2</v>
      </c>
    </row>
    <row r="89">
      <c r="A89" s="7"/>
      <c r="B89" s="2" t="s">
        <v>181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643</v>
      </c>
      <c r="C91" s="12" t="s">
        <v>74</v>
      </c>
      <c r="D91" s="28" t="s">
        <v>728</v>
      </c>
      <c r="E91" s="36" t="str">
        <f>HYPERLINK("https://youtu.be/GRzxxlkXPT4","channel 1")</f>
        <v>channel 1</v>
      </c>
    </row>
    <row r="92">
      <c r="A92" s="7"/>
      <c r="B92" s="10" t="s">
        <v>729</v>
      </c>
      <c r="C92" s="12" t="s">
        <v>730</v>
      </c>
      <c r="D92" s="10" t="s">
        <v>653</v>
      </c>
      <c r="E92" s="13" t="str">
        <f>HYPERLINK("https://youtu.be/jTPCBu4QD7s","channel 2")</f>
        <v>channel 2</v>
      </c>
    </row>
    <row r="93">
      <c r="A93" s="7"/>
      <c r="B93" s="10" t="s">
        <v>731</v>
      </c>
      <c r="C93" s="12" t="s">
        <v>219</v>
      </c>
      <c r="D93" s="10" t="s">
        <v>643</v>
      </c>
      <c r="E93" s="36" t="str">
        <f>HYPERLINK("https://youtu.be/GRzxxlkXPT4?t=936","channel 1")</f>
        <v>channel 1</v>
      </c>
    </row>
    <row r="94">
      <c r="A94" s="7"/>
      <c r="B94" s="10" t="s">
        <v>729</v>
      </c>
      <c r="C94" s="12" t="s">
        <v>111</v>
      </c>
      <c r="D94" s="28" t="s">
        <v>728</v>
      </c>
      <c r="E94" s="13" t="str">
        <f>HYPERLINK("https://youtu.be/jTPCBu4QD7s?t=996","channel 2")</f>
        <v>channel 2</v>
      </c>
    </row>
    <row r="95">
      <c r="A95" s="7"/>
      <c r="B95" s="10" t="s">
        <v>731</v>
      </c>
      <c r="C95" s="46" t="s">
        <v>225</v>
      </c>
      <c r="D95" s="10" t="s">
        <v>653</v>
      </c>
      <c r="E95" s="36" t="str">
        <f>HYPERLINK("https://youtu.be/GRzxxlkXPT4?t=1639","channel 1")</f>
        <v>channel 1</v>
      </c>
    </row>
    <row r="96">
      <c r="A96" s="7"/>
      <c r="B96" s="10" t="s">
        <v>729</v>
      </c>
      <c r="C96" s="12" t="s">
        <v>74</v>
      </c>
      <c r="D96" s="10" t="s">
        <v>643</v>
      </c>
      <c r="E96" s="13" t="str">
        <f>HYPERLINK("https://youtu.be/jTPCBu4QD7s?t=1682","channel 2")</f>
        <v>channel 2</v>
      </c>
    </row>
    <row r="97">
      <c r="A97" s="7"/>
      <c r="B97" s="10" t="s">
        <v>731</v>
      </c>
      <c r="C97" s="12" t="s">
        <v>135</v>
      </c>
      <c r="D97" s="28" t="s">
        <v>728</v>
      </c>
      <c r="E97" s="36" t="str">
        <f>HYPERLINK("https://youtu.be/GRzxxlkXPT4?t=2622","channel 1")</f>
        <v>channel 1</v>
      </c>
    </row>
    <row r="98">
      <c r="A98" s="7"/>
      <c r="B98" s="10" t="s">
        <v>653</v>
      </c>
      <c r="C98" s="12" t="s">
        <v>108</v>
      </c>
      <c r="D98" s="10" t="s">
        <v>643</v>
      </c>
      <c r="E98" s="13" t="str">
        <f>HYPERLINK("https://youtu.be/jTPCBu4QD7s?t=2668","channel 2")</f>
        <v>channel 2</v>
      </c>
    </row>
    <row r="99">
      <c r="A99" s="7"/>
      <c r="B99" s="10" t="s">
        <v>731</v>
      </c>
      <c r="C99" s="12" t="s">
        <v>460</v>
      </c>
      <c r="D99" s="10" t="s">
        <v>729</v>
      </c>
      <c r="E99" s="36" t="str">
        <f>HYPERLINK("https://youtu.be/GRzxxlkXPT4?t=3535","channel 1")</f>
        <v>channel 1</v>
      </c>
    </row>
    <row r="100">
      <c r="A100" s="7"/>
      <c r="B100" s="10" t="s">
        <v>653</v>
      </c>
      <c r="C100" s="12" t="s">
        <v>160</v>
      </c>
      <c r="D100" s="28" t="s">
        <v>728</v>
      </c>
      <c r="E100" s="13" t="str">
        <f>HYPERLINK("https://youtu.be/jTPCBu4QD7s?t=3569","channel 2")</f>
        <v>channel 2</v>
      </c>
    </row>
    <row r="101">
      <c r="A101" s="7"/>
      <c r="B101" s="28" t="s">
        <v>728</v>
      </c>
      <c r="C101" s="12" t="s">
        <v>148</v>
      </c>
      <c r="D101" s="10" t="s">
        <v>643</v>
      </c>
      <c r="E101" s="36" t="str">
        <f>HYPERLINK("https://youtu.be/GRzxxlkXPT4?t=4431","channel 1")</f>
        <v>channel 1</v>
      </c>
    </row>
    <row r="102">
      <c r="A102" s="7"/>
      <c r="B102" s="10" t="s">
        <v>653</v>
      </c>
      <c r="C102" s="12" t="s">
        <v>361</v>
      </c>
      <c r="D102" s="10" t="s">
        <v>729</v>
      </c>
      <c r="E102" s="13" t="str">
        <f>HYPERLINK("https://youtu.be/jTPCBu4QD7s?t=4459","channel 2")</f>
        <v>channel 2</v>
      </c>
    </row>
    <row r="103">
      <c r="A103" s="7"/>
      <c r="B103" s="10" t="s">
        <v>643</v>
      </c>
      <c r="C103" s="12" t="s">
        <v>10</v>
      </c>
      <c r="D103" s="10" t="s">
        <v>731</v>
      </c>
      <c r="E103" s="36" t="str">
        <f>HYPERLINK("https://youtu.be/GRzxxlkXPT4?t=5363","channel 1")</f>
        <v>channel 1</v>
      </c>
    </row>
    <row r="104">
      <c r="A104" s="7"/>
      <c r="B104" s="28" t="s">
        <v>728</v>
      </c>
      <c r="C104" s="12" t="s">
        <v>106</v>
      </c>
      <c r="D104" s="10" t="s">
        <v>729</v>
      </c>
      <c r="E104" s="13" t="str">
        <f>HYPERLINK("https://youtu.be/jTPCBu4QD7s?t=5382","channel 2")</f>
        <v>channel 2</v>
      </c>
    </row>
    <row r="105">
      <c r="A105" s="7"/>
      <c r="B105" s="10" t="s">
        <v>653</v>
      </c>
      <c r="C105" s="12" t="s">
        <v>111</v>
      </c>
      <c r="D105" s="10" t="s">
        <v>731</v>
      </c>
      <c r="E105" s="36" t="str">
        <f>HYPERLINK("https://youtu.be/GRzxxlkXPT4?t=6298","channel 1")</f>
        <v>channel 1</v>
      </c>
    </row>
    <row r="106">
      <c r="A106" s="7"/>
      <c r="B106" s="10" t="s">
        <v>643</v>
      </c>
      <c r="C106" s="12" t="s">
        <v>223</v>
      </c>
      <c r="D106" s="10" t="s">
        <v>729</v>
      </c>
      <c r="E106" s="13" t="str">
        <f>HYPERLINK("https://youtu.be/jTPCBu4QD7s?t=6289","channel 2")</f>
        <v>channel 2</v>
      </c>
    </row>
    <row r="107">
      <c r="A107" s="7"/>
      <c r="B107" s="28" t="s">
        <v>728</v>
      </c>
      <c r="C107" s="12" t="s">
        <v>97</v>
      </c>
      <c r="D107" s="10" t="s">
        <v>731</v>
      </c>
      <c r="E107" s="36" t="str">
        <f>HYPERLINK("https://youtu.be/GRzxxlkXPT4?t=7224","channel 1")</f>
        <v>channel 1</v>
      </c>
    </row>
    <row r="108">
      <c r="A108" s="7"/>
      <c r="B108" s="10" t="s">
        <v>643</v>
      </c>
      <c r="C108" s="12" t="s">
        <v>124</v>
      </c>
      <c r="D108" s="10" t="s">
        <v>653</v>
      </c>
      <c r="E108" s="13" t="str">
        <f>HYPERLINK("https://youtu.be/jTPCBu4QD7s?t=7242","channel 2")</f>
        <v>channel 2</v>
      </c>
    </row>
    <row r="109">
      <c r="A109" s="7"/>
      <c r="B109" s="10" t="s">
        <v>729</v>
      </c>
      <c r="C109" s="12" t="s">
        <v>49</v>
      </c>
      <c r="D109" s="10" t="s">
        <v>731</v>
      </c>
      <c r="E109" s="36" t="str">
        <f>HYPERLINK("https://youtu.be/GRzxxlkXPT4?t=8112","channel 1")</f>
        <v>channel 1</v>
      </c>
    </row>
    <row r="110">
      <c r="A110" s="7"/>
      <c r="B110" s="28" t="s">
        <v>728</v>
      </c>
      <c r="C110" s="12" t="s">
        <v>108</v>
      </c>
      <c r="D110" s="10" t="s">
        <v>653</v>
      </c>
      <c r="E110" s="13" t="str">
        <f>HYPERLINK("https://youtu.be/jTPCBu4QD7s?t=8111","channel 2")</f>
        <v>channel 2</v>
      </c>
    </row>
    <row r="111">
      <c r="A111" s="7"/>
      <c r="B111" s="2" t="s">
        <v>738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10" t="s">
        <v>739</v>
      </c>
      <c r="C113" s="12" t="s">
        <v>10</v>
      </c>
      <c r="D113" s="28" t="s">
        <v>740</v>
      </c>
      <c r="E113" s="36" t="str">
        <f>HYPERLINK("https://youtu.be/oY3Fn96f0Gg","channel 1")</f>
        <v>channel 1</v>
      </c>
    </row>
    <row r="114">
      <c r="A114" s="7"/>
      <c r="B114" s="10" t="s">
        <v>380</v>
      </c>
      <c r="C114" s="12" t="s">
        <v>742</v>
      </c>
      <c r="D114" s="10" t="s">
        <v>743</v>
      </c>
      <c r="E114" s="13" t="str">
        <f>HYPERLINK("https://youtu.be/iKS9KZlD-c4","channel 2")</f>
        <v>channel 2</v>
      </c>
    </row>
    <row r="115">
      <c r="A115" s="7"/>
      <c r="B115" s="10" t="s">
        <v>744</v>
      </c>
      <c r="C115" s="12" t="s">
        <v>106</v>
      </c>
      <c r="D115" s="10" t="s">
        <v>739</v>
      </c>
      <c r="E115" s="36" t="str">
        <f>HYPERLINK("https://youtu.be/oY3Fn96f0Gg?t=941","channel 1")</f>
        <v>channel 1</v>
      </c>
    </row>
    <row r="116">
      <c r="A116" s="7"/>
      <c r="B116" s="10" t="s">
        <v>380</v>
      </c>
      <c r="C116" s="12" t="s">
        <v>365</v>
      </c>
      <c r="D116" s="28" t="s">
        <v>740</v>
      </c>
      <c r="E116" s="13" t="str">
        <f>HYPERLINK("https://youtu.be/iKS9KZlD-c4?t=1051","channel 2")</f>
        <v>channel 2</v>
      </c>
    </row>
    <row r="117">
      <c r="A117" s="7"/>
      <c r="B117" s="10" t="s">
        <v>744</v>
      </c>
      <c r="C117" s="12" t="s">
        <v>132</v>
      </c>
      <c r="D117" s="10" t="s">
        <v>743</v>
      </c>
      <c r="E117" s="36" t="str">
        <f>HYPERLINK("https://youtu.be/oY3Fn96f0Gg?t=1893","channel 1")</f>
        <v>channel 1</v>
      </c>
    </row>
    <row r="118">
      <c r="A118" s="7"/>
      <c r="B118" s="10" t="s">
        <v>380</v>
      </c>
      <c r="C118" s="12" t="s">
        <v>59</v>
      </c>
      <c r="D118" s="10" t="s">
        <v>739</v>
      </c>
      <c r="E118" s="13" t="str">
        <f>HYPERLINK("https://youtu.be/iKS9KZlD-c4?t=1937","channel 2")</f>
        <v>channel 2</v>
      </c>
    </row>
    <row r="119">
      <c r="A119" s="7"/>
      <c r="B119" s="10" t="s">
        <v>744</v>
      </c>
      <c r="C119" s="12" t="s">
        <v>749</v>
      </c>
      <c r="D119" s="28" t="s">
        <v>740</v>
      </c>
      <c r="E119" s="36" t="str">
        <f>HYPERLINK("https://youtu.be/oY3Fn96f0Gg?t=2818","channel 1")</f>
        <v>channel 1</v>
      </c>
    </row>
    <row r="120">
      <c r="A120" s="7"/>
      <c r="B120" s="10" t="s">
        <v>743</v>
      </c>
      <c r="C120" s="12" t="s">
        <v>750</v>
      </c>
      <c r="D120" s="10" t="s">
        <v>739</v>
      </c>
      <c r="E120" s="13" t="str">
        <f>HYPERLINK("https://youtu.be/iKS9KZlD-c4?t=2919","channel 2")</f>
        <v>channel 2</v>
      </c>
    </row>
    <row r="121">
      <c r="A121" s="7"/>
      <c r="B121" s="10" t="s">
        <v>744</v>
      </c>
      <c r="C121" s="12" t="s">
        <v>751</v>
      </c>
      <c r="D121" s="10" t="s">
        <v>380</v>
      </c>
      <c r="E121" s="36" t="str">
        <f>HYPERLINK("https://youtu.be/oY3Fn96f0Gg?t=3734","channel 1")</f>
        <v>channel 1</v>
      </c>
    </row>
    <row r="122">
      <c r="A122" s="7"/>
      <c r="B122" s="10" t="s">
        <v>743</v>
      </c>
      <c r="C122" s="12" t="s">
        <v>754</v>
      </c>
      <c r="D122" s="28" t="s">
        <v>740</v>
      </c>
      <c r="E122" s="13" t="str">
        <f>HYPERLINK("https://youtu.be/iKS9KZlD-c4?t=3850","channel 2")</f>
        <v>channel 2</v>
      </c>
    </row>
    <row r="123">
      <c r="A123" s="7"/>
      <c r="B123" s="28" t="s">
        <v>740</v>
      </c>
      <c r="C123" s="12" t="s">
        <v>157</v>
      </c>
      <c r="D123" s="10" t="s">
        <v>739</v>
      </c>
      <c r="E123" s="36" t="str">
        <f>HYPERLINK("https://youtu.be/oY3Fn96f0Gg?t=4648","channel 1")</f>
        <v>channel 1</v>
      </c>
    </row>
    <row r="124">
      <c r="A124" s="7"/>
      <c r="B124" s="10" t="s">
        <v>743</v>
      </c>
      <c r="C124" s="12" t="s">
        <v>268</v>
      </c>
      <c r="D124" s="10" t="s">
        <v>380</v>
      </c>
      <c r="E124" s="13" t="str">
        <f>HYPERLINK("https://youtu.be/iKS9KZlD-c4?t=4772","channel 2")</f>
        <v>channel 2</v>
      </c>
    </row>
    <row r="125">
      <c r="A125" s="7"/>
      <c r="B125" s="10" t="s">
        <v>739</v>
      </c>
      <c r="C125" s="12" t="s">
        <v>111</v>
      </c>
      <c r="D125" s="10" t="s">
        <v>744</v>
      </c>
      <c r="E125" s="36" t="str">
        <f>HYPERLINK("https://youtu.be/oY3Fn96f0Gg?t=5585","channel 1")</f>
        <v>channel 1</v>
      </c>
    </row>
    <row r="126">
      <c r="A126" s="7"/>
      <c r="B126" s="28" t="s">
        <v>740</v>
      </c>
      <c r="C126" s="12" t="s">
        <v>477</v>
      </c>
      <c r="D126" s="10" t="s">
        <v>380</v>
      </c>
      <c r="E126" s="13" t="str">
        <f>HYPERLINK("https://youtu.be/iKS9KZlD-c4?t=5661","channel 2")</f>
        <v>channel 2</v>
      </c>
    </row>
    <row r="127">
      <c r="A127" s="7"/>
      <c r="B127" s="10" t="s">
        <v>743</v>
      </c>
      <c r="C127" s="12" t="s">
        <v>758</v>
      </c>
      <c r="D127" s="10" t="s">
        <v>744</v>
      </c>
      <c r="E127" s="36" t="str">
        <f>HYPERLINK("https://youtu.be/oY3Fn96f0Gg?t=6440","channel 1")</f>
        <v>channel 1</v>
      </c>
    </row>
    <row r="128">
      <c r="A128" s="7"/>
      <c r="B128" s="10" t="s">
        <v>739</v>
      </c>
      <c r="C128" s="12" t="s">
        <v>74</v>
      </c>
      <c r="D128" s="10" t="s">
        <v>380</v>
      </c>
      <c r="E128" s="13" t="str">
        <f>HYPERLINK("https://youtu.be/iKS9KZlD-c4?t=6569","channel 2")</f>
        <v>channel 2</v>
      </c>
    </row>
    <row r="129">
      <c r="A129" s="7"/>
      <c r="B129" s="28" t="s">
        <v>740</v>
      </c>
      <c r="C129" s="12" t="s">
        <v>759</v>
      </c>
      <c r="D129" s="10" t="s">
        <v>744</v>
      </c>
      <c r="E129" s="36" t="str">
        <f>HYPERLINK("https://youtu.be/oY3Fn96f0Gg?t=7341","channel 1")</f>
        <v>channel 1</v>
      </c>
    </row>
    <row r="130">
      <c r="A130" s="7"/>
      <c r="B130" s="10" t="s">
        <v>739</v>
      </c>
      <c r="C130" s="12" t="s">
        <v>111</v>
      </c>
      <c r="D130" s="10" t="s">
        <v>743</v>
      </c>
      <c r="E130" s="13" t="str">
        <f>HYPERLINK("https://youtu.be/iKS9KZlD-c4?t=7494","channel 2")</f>
        <v>channel 2</v>
      </c>
    </row>
    <row r="131">
      <c r="A131" s="7"/>
      <c r="B131" s="10" t="s">
        <v>380</v>
      </c>
      <c r="C131" s="12" t="s">
        <v>595</v>
      </c>
      <c r="D131" s="10" t="s">
        <v>744</v>
      </c>
      <c r="E131" s="36" t="str">
        <f>HYPERLINK("https://youtu.be/oY3Fn96f0Gg?t=8227","channel 1")</f>
        <v>channel 1</v>
      </c>
    </row>
    <row r="132">
      <c r="A132" s="25"/>
      <c r="B132" s="28" t="s">
        <v>740</v>
      </c>
      <c r="C132" s="12" t="s">
        <v>117</v>
      </c>
      <c r="D132" s="10" t="s">
        <v>743</v>
      </c>
      <c r="E132" s="13" t="str">
        <f>HYPERLINK("https://youtu.be/iKS9KZlD-c4?t=8403","channel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6" t="s">
        <v>299</v>
      </c>
      <c r="C1" s="3"/>
      <c r="D1" s="4"/>
      <c r="E1" s="35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431</v>
      </c>
      <c r="C3" s="12" t="s">
        <v>42</v>
      </c>
      <c r="D3" s="10" t="s">
        <v>763</v>
      </c>
      <c r="E3" s="36" t="str">
        <f>HYPERLINK("https://youtu.be/Y80h138eHIk","channel 1")</f>
        <v>channel 1</v>
      </c>
    </row>
    <row r="4">
      <c r="A4" s="7"/>
      <c r="B4" s="10" t="s">
        <v>766</v>
      </c>
      <c r="C4" s="12" t="s">
        <v>46</v>
      </c>
      <c r="D4" s="10" t="s">
        <v>768</v>
      </c>
      <c r="E4" s="13" t="str">
        <f>HYPERLINK("https://youtu.be/2ziGm-Yu1nE","channel 2")</f>
        <v>channel 2</v>
      </c>
    </row>
    <row r="5">
      <c r="A5" s="7"/>
      <c r="B5" s="10" t="s">
        <v>769</v>
      </c>
      <c r="C5" s="12" t="s">
        <v>109</v>
      </c>
      <c r="D5" s="10" t="s">
        <v>431</v>
      </c>
      <c r="E5" s="36" t="str">
        <f>HYPERLINK("https://youtu.be/Y80h138eHIk?t=1051","channel 1")</f>
        <v>channel 1</v>
      </c>
    </row>
    <row r="6">
      <c r="A6" s="7"/>
      <c r="B6" s="10" t="s">
        <v>766</v>
      </c>
      <c r="C6" s="12" t="s">
        <v>145</v>
      </c>
      <c r="D6" s="10" t="s">
        <v>763</v>
      </c>
      <c r="E6" s="13" t="str">
        <f>HYPERLINK("https://youtu.be/2ziGm-Yu1nE?t=842","channel 2")</f>
        <v>channel 2</v>
      </c>
    </row>
    <row r="7">
      <c r="A7" s="7"/>
      <c r="B7" s="10" t="s">
        <v>769</v>
      </c>
      <c r="C7" s="12" t="s">
        <v>24</v>
      </c>
      <c r="D7" s="10" t="s">
        <v>768</v>
      </c>
      <c r="E7" s="36" t="str">
        <f>HYPERLINK("https://youtu.be/Y80h138eHIk?t=2086","channel 1")</f>
        <v>channel 1</v>
      </c>
    </row>
    <row r="8">
      <c r="A8" s="7"/>
      <c r="B8" s="10" t="s">
        <v>766</v>
      </c>
      <c r="C8" s="12" t="s">
        <v>148</v>
      </c>
      <c r="D8" s="10" t="s">
        <v>431</v>
      </c>
      <c r="E8" s="13" t="str">
        <f>HYPERLINK("https://youtu.be/2ziGm-Yu1nE?t=1897","channel 2")</f>
        <v>channel 2</v>
      </c>
    </row>
    <row r="9">
      <c r="A9" s="7"/>
      <c r="B9" s="10" t="s">
        <v>769</v>
      </c>
      <c r="C9" s="12" t="s">
        <v>142</v>
      </c>
      <c r="D9" s="10" t="s">
        <v>763</v>
      </c>
      <c r="E9" s="36" t="str">
        <f>HYPERLINK("https://youtu.be/Y80h138eHIk?t=3184","channel 1")</f>
        <v>channel 1</v>
      </c>
    </row>
    <row r="10">
      <c r="A10" s="7"/>
      <c r="B10" s="10" t="s">
        <v>768</v>
      </c>
      <c r="C10" s="12" t="s">
        <v>770</v>
      </c>
      <c r="D10" s="10" t="s">
        <v>431</v>
      </c>
      <c r="E10" s="13" t="str">
        <f>HYPERLINK("https://youtu.be/2ziGm-Yu1nE?t=3050","channel 2")</f>
        <v>channel 2</v>
      </c>
    </row>
    <row r="11">
      <c r="A11" s="7"/>
      <c r="B11" s="10" t="s">
        <v>769</v>
      </c>
      <c r="C11" s="12" t="s">
        <v>180</v>
      </c>
      <c r="D11" s="10" t="s">
        <v>766</v>
      </c>
      <c r="E11" s="36" t="str">
        <f>HYPERLINK("https://youtu.be/Y80h138eHIk?t=4141","chanel 1")</f>
        <v>chanel 1</v>
      </c>
    </row>
    <row r="12">
      <c r="A12" s="7"/>
      <c r="B12" s="10" t="s">
        <v>768</v>
      </c>
      <c r="C12" s="12" t="s">
        <v>132</v>
      </c>
      <c r="D12" s="10" t="s">
        <v>763</v>
      </c>
      <c r="E12" s="13" t="str">
        <f>HYPERLINK("https://youtu.be/2ziGm-Yu1nE?t=4165","channel 2")</f>
        <v>channel 2</v>
      </c>
    </row>
    <row r="13">
      <c r="A13" s="7"/>
      <c r="B13" s="10" t="s">
        <v>763</v>
      </c>
      <c r="C13" s="12" t="s">
        <v>93</v>
      </c>
      <c r="D13" s="10" t="s">
        <v>431</v>
      </c>
      <c r="E13" s="54" t="str">
        <f>HYPERLINK("https://youtu.be/Y80h138eHIk?t=5811","channel 1")</f>
        <v>channel 1</v>
      </c>
    </row>
    <row r="14">
      <c r="A14" s="7"/>
      <c r="B14" s="10" t="s">
        <v>768</v>
      </c>
      <c r="C14" s="12" t="s">
        <v>24</v>
      </c>
      <c r="D14" s="10" t="s">
        <v>766</v>
      </c>
      <c r="E14" s="13" t="str">
        <f>HYPERLINK("https://youtu.be/2ziGm-Yu1nE?t=5163","channel 2")</f>
        <v>channel 2</v>
      </c>
    </row>
    <row r="15">
      <c r="A15" s="7"/>
      <c r="B15" s="10" t="s">
        <v>431</v>
      </c>
      <c r="C15" s="12" t="s">
        <v>101</v>
      </c>
      <c r="D15" s="10" t="s">
        <v>769</v>
      </c>
      <c r="E15" s="36" t="str">
        <f>HYPERLINK("https://youtu.be/Y80h138eHIk?t=6489","channel 1")</f>
        <v>channel 1</v>
      </c>
    </row>
    <row r="16">
      <c r="A16" s="7"/>
      <c r="B16" s="10" t="s">
        <v>763</v>
      </c>
      <c r="C16" s="12" t="s">
        <v>49</v>
      </c>
      <c r="D16" s="10" t="s">
        <v>766</v>
      </c>
      <c r="E16" s="13" t="str">
        <f>HYPERLINK("https://youtu.be/2ziGm-Yu1nE?t=6268","channel 2")</f>
        <v>channel 2</v>
      </c>
    </row>
    <row r="17">
      <c r="A17" s="7"/>
      <c r="B17" s="10" t="s">
        <v>768</v>
      </c>
      <c r="C17" s="12" t="s">
        <v>145</v>
      </c>
      <c r="D17" s="10" t="s">
        <v>769</v>
      </c>
      <c r="E17" s="36" t="str">
        <f>HYPERLINK("https://youtu.be/Y80h138eHIk?t=7455","channel 1")</f>
        <v>channel 1</v>
      </c>
    </row>
    <row r="18">
      <c r="A18" s="7"/>
      <c r="B18" s="10" t="s">
        <v>431</v>
      </c>
      <c r="C18" s="12" t="s">
        <v>10</v>
      </c>
      <c r="D18" s="10" t="s">
        <v>766</v>
      </c>
      <c r="E18" s="13" t="str">
        <f>HYPERLINK("https://youtu.be/2ziGm-Yu1nE?t=7402","channel 2")</f>
        <v>channel 2</v>
      </c>
    </row>
    <row r="19">
      <c r="A19" s="7"/>
      <c r="B19" s="10" t="s">
        <v>763</v>
      </c>
      <c r="C19" s="12" t="s">
        <v>337</v>
      </c>
      <c r="D19" s="10" t="s">
        <v>769</v>
      </c>
      <c r="E19" s="36" t="str">
        <f>HYPERLINK("https://youtu.be/Y80h138eHIk?t=8307","channel 1")</f>
        <v>channel 1</v>
      </c>
    </row>
    <row r="20">
      <c r="A20" s="7"/>
      <c r="B20" s="10" t="s">
        <v>431</v>
      </c>
      <c r="C20" s="12" t="s">
        <v>142</v>
      </c>
      <c r="D20" s="10" t="s">
        <v>768</v>
      </c>
      <c r="E20" s="13" t="str">
        <f>HYPERLINK("https://youtu.be/2ziGm-Yu1nE?t=8350","channel 2")</f>
        <v>channel 2</v>
      </c>
    </row>
    <row r="21">
      <c r="A21" s="7"/>
      <c r="B21" s="10" t="s">
        <v>766</v>
      </c>
      <c r="C21" s="12" t="s">
        <v>337</v>
      </c>
      <c r="D21" s="10" t="s">
        <v>769</v>
      </c>
      <c r="E21" s="36" t="str">
        <f>HYPERLINK("https://youtu.be/Y80h138eHIk?t=9217","channel 1")</f>
        <v>channel 1</v>
      </c>
    </row>
    <row r="22">
      <c r="A22" s="7"/>
      <c r="B22" s="10" t="s">
        <v>763</v>
      </c>
      <c r="C22" s="12" t="s">
        <v>32</v>
      </c>
      <c r="D22" s="10" t="s">
        <v>768</v>
      </c>
      <c r="E22" s="13" t="str">
        <f>HYPERLINK("https://youtu.be/2ziGm-Yu1nE?t=9328","channel 2")</f>
        <v>channel 2</v>
      </c>
    </row>
    <row r="23">
      <c r="A23" s="7"/>
      <c r="B23" s="6" t="s">
        <v>776</v>
      </c>
      <c r="C23" s="3"/>
      <c r="D23" s="4"/>
      <c r="E23" s="35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28" t="s">
        <v>780</v>
      </c>
      <c r="C25" s="12" t="s">
        <v>85</v>
      </c>
      <c r="D25" s="10" t="s">
        <v>781</v>
      </c>
      <c r="E25" s="36" t="str">
        <f>HYPERLINK("https://youtu.be/UTJzmwF6S2I","channel 1")</f>
        <v>channel 1</v>
      </c>
    </row>
    <row r="26">
      <c r="A26" s="7"/>
      <c r="B26" s="10" t="s">
        <v>782</v>
      </c>
      <c r="C26" s="12" t="s">
        <v>296</v>
      </c>
      <c r="D26" s="10" t="s">
        <v>783</v>
      </c>
      <c r="E26" s="13" t="str">
        <f>HYPERLINK("https://youtu.be/qoj-HCnTPDc","channel 2")</f>
        <v>channel 2</v>
      </c>
    </row>
    <row r="27">
      <c r="A27" s="7"/>
      <c r="B27" s="10" t="s">
        <v>784</v>
      </c>
      <c r="C27" s="12" t="s">
        <v>193</v>
      </c>
      <c r="D27" s="28" t="s">
        <v>780</v>
      </c>
      <c r="E27" s="36" t="str">
        <f>HYPERLINK("https://youtu.be/UTJzmwF6S2I?t=974","channel 1")</f>
        <v>channel 1</v>
      </c>
    </row>
    <row r="28">
      <c r="A28" s="7"/>
      <c r="B28" s="10" t="s">
        <v>782</v>
      </c>
      <c r="C28" s="12" t="s">
        <v>46</v>
      </c>
      <c r="D28" s="10" t="s">
        <v>781</v>
      </c>
      <c r="E28" s="13" t="str">
        <f>HYPERLINK("https://youtu.be/qoj-HCnTPDc?t=927","channel 2")</f>
        <v>channel 2</v>
      </c>
    </row>
    <row r="29">
      <c r="A29" s="7"/>
      <c r="B29" s="10" t="s">
        <v>784</v>
      </c>
      <c r="C29" s="12" t="s">
        <v>108</v>
      </c>
      <c r="D29" s="10" t="s">
        <v>783</v>
      </c>
      <c r="E29" s="36" t="str">
        <f>HYPERLINK("https://youtu.be/UTJzmwF6S2I?t=1903","channel 1")</f>
        <v>channel 1</v>
      </c>
    </row>
    <row r="30">
      <c r="A30" s="7"/>
      <c r="B30" s="10" t="s">
        <v>782</v>
      </c>
      <c r="C30" s="12" t="s">
        <v>219</v>
      </c>
      <c r="D30" s="28" t="s">
        <v>780</v>
      </c>
      <c r="E30" s="13" t="str">
        <f>HYPERLINK("https://youtu.be/qoj-HCnTPDc?t=1758","channel 2")</f>
        <v>channel 2</v>
      </c>
    </row>
    <row r="31">
      <c r="A31" s="7"/>
      <c r="B31" s="10" t="s">
        <v>784</v>
      </c>
      <c r="C31" s="12" t="s">
        <v>10</v>
      </c>
      <c r="D31" s="10" t="s">
        <v>781</v>
      </c>
      <c r="E31" s="36" t="str">
        <f>HYPERLINK("https://youtu.be/UTJzmwF6S2I?t=2794","channel 1")</f>
        <v>channel 1</v>
      </c>
    </row>
    <row r="32">
      <c r="A32" s="7"/>
      <c r="B32" s="10" t="s">
        <v>783</v>
      </c>
      <c r="C32" s="12" t="s">
        <v>385</v>
      </c>
      <c r="D32" s="28" t="s">
        <v>780</v>
      </c>
      <c r="E32" s="13" t="str">
        <f>HYPERLINK("https://youtu.be/qoj-HCnTPDc?t=2827","channel 2")</f>
        <v>channel 2</v>
      </c>
    </row>
    <row r="33">
      <c r="A33" s="7"/>
      <c r="B33" s="10" t="s">
        <v>784</v>
      </c>
      <c r="C33" s="12" t="s">
        <v>786</v>
      </c>
      <c r="D33" s="10" t="s">
        <v>782</v>
      </c>
      <c r="E33" s="36" t="str">
        <f>HYPERLINK("https://youtu.be/UTJzmwF6S2I?t=3652","channel 1")</f>
        <v>channel 1</v>
      </c>
    </row>
    <row r="34">
      <c r="A34" s="7"/>
      <c r="B34" s="10" t="s">
        <v>783</v>
      </c>
      <c r="C34" s="12" t="s">
        <v>24</v>
      </c>
      <c r="D34" s="10" t="s">
        <v>781</v>
      </c>
      <c r="E34" s="13" t="str">
        <f>HYPERLINK("https://youtu.be/qoj-HCnTPDc?t=3693","channel 2")</f>
        <v>channel 2</v>
      </c>
    </row>
    <row r="35">
      <c r="A35" s="7"/>
      <c r="B35" s="10" t="s">
        <v>781</v>
      </c>
      <c r="C35" s="12" t="s">
        <v>77</v>
      </c>
      <c r="D35" s="28" t="s">
        <v>780</v>
      </c>
      <c r="E35" s="36" t="str">
        <f>HYPERLINK("https://youtu.be/UTJzmwF6S2I?t=4647","channel 1")</f>
        <v>channel 1</v>
      </c>
    </row>
    <row r="36">
      <c r="A36" s="7"/>
      <c r="B36" s="10" t="s">
        <v>783</v>
      </c>
      <c r="C36" s="12" t="s">
        <v>124</v>
      </c>
      <c r="D36" s="10" t="s">
        <v>782</v>
      </c>
      <c r="E36" s="13" t="str">
        <f>HYPERLINK("https://youtu.be/qoj-HCnTPDc?t=4514","channel 2")</f>
        <v>channel 2</v>
      </c>
    </row>
    <row r="37">
      <c r="A37" s="7"/>
      <c r="B37" s="28" t="s">
        <v>780</v>
      </c>
      <c r="C37" s="12" t="s">
        <v>106</v>
      </c>
      <c r="D37" s="10" t="s">
        <v>784</v>
      </c>
      <c r="E37" s="36" t="str">
        <f>HYPERLINK("https://youtu.be/UTJzmwF6S2I?t=5571","channel 1")</f>
        <v>channel 1</v>
      </c>
    </row>
    <row r="38">
      <c r="A38" s="7"/>
      <c r="B38" s="10" t="s">
        <v>781</v>
      </c>
      <c r="C38" s="12" t="s">
        <v>32</v>
      </c>
      <c r="D38" s="10" t="s">
        <v>782</v>
      </c>
      <c r="E38" s="13" t="str">
        <f>HYPERLINK("https://youtu.be/qoj-HCnTPDc?t=5389","channel 2")</f>
        <v>channel 2</v>
      </c>
    </row>
    <row r="39">
      <c r="A39" s="7"/>
      <c r="B39" s="10" t="s">
        <v>783</v>
      </c>
      <c r="C39" s="18" t="s">
        <v>759</v>
      </c>
      <c r="D39" s="10" t="s">
        <v>784</v>
      </c>
      <c r="E39" s="36" t="str">
        <f>HYPERLINK("https://youtu.be/UTJzmwF6S2I?t=6469","channel 1")</f>
        <v>channel 1</v>
      </c>
    </row>
    <row r="40">
      <c r="A40" s="7"/>
      <c r="B40" s="28" t="s">
        <v>780</v>
      </c>
      <c r="C40" s="12" t="s">
        <v>471</v>
      </c>
      <c r="D40" s="10" t="s">
        <v>782</v>
      </c>
      <c r="E40" s="13" t="str">
        <f>HYPERLINK("https://youtu.be/qoj-HCnTPDc?t=6361","channel 2")</f>
        <v>channel 2</v>
      </c>
    </row>
    <row r="41">
      <c r="A41" s="7"/>
      <c r="B41" s="10" t="s">
        <v>781</v>
      </c>
      <c r="C41" s="12" t="s">
        <v>188</v>
      </c>
      <c r="D41" s="10" t="s">
        <v>784</v>
      </c>
      <c r="E41" s="36" t="str">
        <f>HYPERLINK("https://youtu.be/UTJzmwF6S2I?t=7630","channel 1")</f>
        <v>channel 1</v>
      </c>
    </row>
    <row r="42">
      <c r="A42" s="7"/>
      <c r="B42" s="28" t="s">
        <v>780</v>
      </c>
      <c r="C42" s="12" t="s">
        <v>223</v>
      </c>
      <c r="D42" s="10" t="s">
        <v>783</v>
      </c>
      <c r="E42" s="13" t="str">
        <f>HYPERLINK("https://youtu.be/qoj-HCnTPDc?t=7324","channel 2")</f>
        <v>channel 2</v>
      </c>
    </row>
    <row r="43">
      <c r="A43" s="7"/>
      <c r="B43" s="10" t="s">
        <v>782</v>
      </c>
      <c r="C43" s="12" t="s">
        <v>212</v>
      </c>
      <c r="D43" s="10" t="s">
        <v>784</v>
      </c>
      <c r="E43" s="36" t="str">
        <f>HYPERLINK("https://youtu.be/UTJzmwF6S2I?t=8526","channel 1")</f>
        <v>channel 1</v>
      </c>
    </row>
    <row r="44">
      <c r="A44" s="7"/>
      <c r="B44" s="10" t="s">
        <v>781</v>
      </c>
      <c r="C44" s="12" t="s">
        <v>106</v>
      </c>
      <c r="D44" s="10" t="s">
        <v>783</v>
      </c>
      <c r="E44" s="13" t="str">
        <f>HYPERLINK("https://youtu.be/qoj-HCnTPDc?t=8375","channel 2")</f>
        <v>channel 2</v>
      </c>
    </row>
    <row r="45">
      <c r="A45" s="7"/>
      <c r="B45" s="6" t="s">
        <v>202</v>
      </c>
      <c r="C45" s="3"/>
      <c r="D45" s="4"/>
      <c r="E45" s="35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793</v>
      </c>
      <c r="C47" s="12" t="s">
        <v>570</v>
      </c>
      <c r="D47" s="10" t="s">
        <v>796</v>
      </c>
      <c r="E47" s="36" t="str">
        <f>HYPERLINK("https://youtu.be/xX9T7pBxWFc","channel 1")</f>
        <v>channel 1</v>
      </c>
    </row>
    <row r="48">
      <c r="A48" s="7"/>
      <c r="B48" s="10" t="s">
        <v>798</v>
      </c>
      <c r="C48" s="12" t="s">
        <v>160</v>
      </c>
      <c r="D48" s="10" t="s">
        <v>799</v>
      </c>
      <c r="E48" s="13" t="str">
        <f>HYPERLINK("https://youtu.be/mG0CYVeNaUU","channel 2")</f>
        <v>channel 2</v>
      </c>
    </row>
    <row r="49">
      <c r="A49" s="7"/>
      <c r="B49" s="10" t="s">
        <v>800</v>
      </c>
      <c r="C49" s="12" t="s">
        <v>108</v>
      </c>
      <c r="D49" s="10" t="s">
        <v>793</v>
      </c>
      <c r="E49" s="36" t="str">
        <f>HYPERLINK("https://youtu.be/xX9T7pBxWFc?t=909","channel 1")</f>
        <v>channel 1</v>
      </c>
    </row>
    <row r="50">
      <c r="A50" s="7"/>
      <c r="B50" s="10" t="s">
        <v>798</v>
      </c>
      <c r="C50" s="12" t="s">
        <v>145</v>
      </c>
      <c r="D50" s="10" t="s">
        <v>796</v>
      </c>
      <c r="E50" s="13" t="str">
        <f>HYPERLINK("https://youtu.be/mG0CYVeNaUU?t=891","channel 2")</f>
        <v>channel 2</v>
      </c>
    </row>
    <row r="51">
      <c r="A51" s="7"/>
      <c r="B51" s="10" t="s">
        <v>800</v>
      </c>
      <c r="C51" s="12" t="s">
        <v>77</v>
      </c>
      <c r="D51" s="10" t="s">
        <v>799</v>
      </c>
      <c r="E51" s="36" t="str">
        <f>HYPERLINK("https://youtu.be/xX9T7pBxWFc?t=1844","channel 1")</f>
        <v>channel 1</v>
      </c>
    </row>
    <row r="52">
      <c r="A52" s="7"/>
      <c r="B52" s="10" t="s">
        <v>798</v>
      </c>
      <c r="C52" s="12" t="s">
        <v>34</v>
      </c>
      <c r="D52" s="10" t="s">
        <v>793</v>
      </c>
      <c r="E52" s="13" t="str">
        <f>HYPERLINK("https://youtu.be/mG0CYVeNaUU?t=1887","channel 2")</f>
        <v>channel 2</v>
      </c>
    </row>
    <row r="53">
      <c r="A53" s="7"/>
      <c r="B53" s="10" t="s">
        <v>800</v>
      </c>
      <c r="C53" s="12" t="s">
        <v>103</v>
      </c>
      <c r="D53" s="10" t="s">
        <v>796</v>
      </c>
      <c r="E53" s="36" t="str">
        <f>HYPERLINK("https://youtu.be/xX9T7pBxWFc?t=2772","channel 1")</f>
        <v>channel 1</v>
      </c>
    </row>
    <row r="54">
      <c r="A54" s="7"/>
      <c r="B54" s="10" t="s">
        <v>799</v>
      </c>
      <c r="C54" s="12" t="s">
        <v>210</v>
      </c>
      <c r="D54" s="10" t="s">
        <v>793</v>
      </c>
      <c r="E54" s="13" t="str">
        <f>HYPERLINK("https://youtu.be/mG0CYVeNaUU?t=2936","channel 2")</f>
        <v>channel 2</v>
      </c>
    </row>
    <row r="55">
      <c r="A55" s="7"/>
      <c r="B55" s="10" t="s">
        <v>800</v>
      </c>
      <c r="C55" s="12" t="s">
        <v>278</v>
      </c>
      <c r="D55" s="10" t="s">
        <v>798</v>
      </c>
      <c r="E55" s="36" t="str">
        <f>HYPERLINK("https://youtu.be/xX9T7pBxWFc?t=3779","channel 1")</f>
        <v>channel 1</v>
      </c>
    </row>
    <row r="56">
      <c r="A56" s="7"/>
      <c r="B56" s="10" t="s">
        <v>799</v>
      </c>
      <c r="C56" s="12" t="s">
        <v>37</v>
      </c>
      <c r="D56" s="10" t="s">
        <v>796</v>
      </c>
      <c r="E56" s="13" t="str">
        <f>HYPERLINK("https://youtu.be/mG0CYVeNaUU?t=3991","channel 2")</f>
        <v>channel 2</v>
      </c>
    </row>
    <row r="57">
      <c r="A57" s="7"/>
      <c r="B57" s="10" t="s">
        <v>796</v>
      </c>
      <c r="C57" s="12" t="s">
        <v>49</v>
      </c>
      <c r="D57" s="10" t="s">
        <v>793</v>
      </c>
      <c r="E57" s="36" t="str">
        <f>HYPERLINK("https://youtu.be/xX9T7pBxWFc?t=4752","channel 1")</f>
        <v>channel 1</v>
      </c>
    </row>
    <row r="58">
      <c r="A58" s="7"/>
      <c r="B58" s="10" t="s">
        <v>799</v>
      </c>
      <c r="C58" s="12" t="s">
        <v>49</v>
      </c>
      <c r="D58" s="10" t="s">
        <v>798</v>
      </c>
      <c r="E58" s="13" t="str">
        <f>HYPERLINK("https://youtu.be/mG0CYVeNaUU?t=4871","channel 2")</f>
        <v>channel 2</v>
      </c>
    </row>
    <row r="59">
      <c r="A59" s="7"/>
      <c r="B59" s="10" t="s">
        <v>793</v>
      </c>
      <c r="C59" s="12" t="s">
        <v>117</v>
      </c>
      <c r="D59" s="10" t="s">
        <v>800</v>
      </c>
      <c r="E59" s="36" t="str">
        <f>HYPERLINK("https://youtu.be/xX9T7pBxWFc?t=5792","channel 1")</f>
        <v>channel 1</v>
      </c>
    </row>
    <row r="60">
      <c r="A60" s="7"/>
      <c r="B60" s="10" t="s">
        <v>796</v>
      </c>
      <c r="C60" s="12" t="s">
        <v>49</v>
      </c>
      <c r="D60" s="10" t="s">
        <v>798</v>
      </c>
      <c r="E60" s="13" t="str">
        <f>HYPERLINK("https://youtu.be/mG0CYVeNaUU?t=5962","channel 2")</f>
        <v>channel 2</v>
      </c>
    </row>
    <row r="61">
      <c r="A61" s="7"/>
      <c r="B61" s="10" t="s">
        <v>799</v>
      </c>
      <c r="C61" s="12" t="s">
        <v>38</v>
      </c>
      <c r="D61" s="10" t="s">
        <v>800</v>
      </c>
      <c r="E61" s="36" t="str">
        <f>HYPERLINK("https://youtu.be/xX9T7pBxWFc?t=6932","channel 1")</f>
        <v>channel 1</v>
      </c>
    </row>
    <row r="62">
      <c r="A62" s="7"/>
      <c r="B62" s="10" t="s">
        <v>793</v>
      </c>
      <c r="C62" s="12" t="s">
        <v>59</v>
      </c>
      <c r="D62" s="10" t="s">
        <v>798</v>
      </c>
      <c r="E62" s="13" t="str">
        <f>HYPERLINK("https://youtu.be/mG0CYVeNaUU?t=6933","channel 2")</f>
        <v>channel 2</v>
      </c>
    </row>
    <row r="63">
      <c r="A63" s="7"/>
      <c r="B63" s="10" t="s">
        <v>796</v>
      </c>
      <c r="C63" s="12" t="s">
        <v>49</v>
      </c>
      <c r="D63" s="10" t="s">
        <v>800</v>
      </c>
      <c r="E63" s="36" t="str">
        <f>HYPERLINK("https://youtu.be/xX9T7pBxWFc?t=7877","channel 1")</f>
        <v>channel 1</v>
      </c>
    </row>
    <row r="64">
      <c r="A64" s="7"/>
      <c r="B64" s="10" t="s">
        <v>793</v>
      </c>
      <c r="C64" s="12" t="s">
        <v>806</v>
      </c>
      <c r="D64" s="10" t="s">
        <v>799</v>
      </c>
      <c r="E64" s="13" t="str">
        <f>HYPERLINK("https://youtu.be/mG0CYVeNaUU?t=8124","channel 2")</f>
        <v>channel 2</v>
      </c>
    </row>
    <row r="65">
      <c r="A65" s="7"/>
      <c r="B65" s="10" t="s">
        <v>798</v>
      </c>
      <c r="C65" s="12" t="s">
        <v>77</v>
      </c>
      <c r="D65" s="10" t="s">
        <v>800</v>
      </c>
      <c r="E65" s="36" t="str">
        <f>HYPERLINK("https://youtu.be/xX9T7pBxWFc?t=8876","channel 1")</f>
        <v>channel 1</v>
      </c>
    </row>
    <row r="66">
      <c r="A66" s="7"/>
      <c r="B66" s="10" t="s">
        <v>796</v>
      </c>
      <c r="C66" s="12" t="s">
        <v>109</v>
      </c>
      <c r="D66" s="10" t="s">
        <v>799</v>
      </c>
      <c r="E66" s="13" t="str">
        <f>HYPERLINK("https://youtu.be/mG0CYVeNaUU?t=9010","channel 2")</f>
        <v>channel 2</v>
      </c>
    </row>
    <row r="67">
      <c r="A67" s="7"/>
      <c r="B67" s="6" t="s">
        <v>134</v>
      </c>
      <c r="C67" s="3"/>
      <c r="D67" s="4"/>
      <c r="E67" s="43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809</v>
      </c>
      <c r="C69" s="12" t="s">
        <v>218</v>
      </c>
      <c r="D69" s="10" t="s">
        <v>810</v>
      </c>
      <c r="E69" s="36" t="str">
        <f>HYPERLINK("https://youtu.be/fCXjGGCSmD8","channel 1")</f>
        <v>channel 1</v>
      </c>
    </row>
    <row r="70">
      <c r="A70" s="7"/>
      <c r="B70" s="10" t="s">
        <v>81</v>
      </c>
      <c r="C70" s="12" t="s">
        <v>693</v>
      </c>
      <c r="D70" s="10" t="s">
        <v>812</v>
      </c>
      <c r="E70" s="13" t="str">
        <f>HYPERLINK("https://youtu.be/uUr-jDvd8hQ","channel 2")</f>
        <v>channel 2</v>
      </c>
    </row>
    <row r="71">
      <c r="A71" s="7"/>
      <c r="B71" s="10" t="s">
        <v>814</v>
      </c>
      <c r="C71" s="12" t="s">
        <v>47</v>
      </c>
      <c r="D71" s="10" t="s">
        <v>809</v>
      </c>
      <c r="E71" s="36" t="str">
        <f>HYPERLINK("https://youtu.be/fCXjGGCSmD8?t=1041","channel 1")</f>
        <v>channel 1</v>
      </c>
    </row>
    <row r="72">
      <c r="A72" s="7"/>
      <c r="B72" s="10" t="s">
        <v>81</v>
      </c>
      <c r="C72" s="12" t="s">
        <v>577</v>
      </c>
      <c r="D72" s="10" t="s">
        <v>810</v>
      </c>
      <c r="E72" s="13" t="str">
        <f>HYPERLINK("https://youtu.be/uUr-jDvd8hQ?t=873","channel 2")</f>
        <v>channel 2</v>
      </c>
    </row>
    <row r="73">
      <c r="A73" s="7"/>
      <c r="B73" s="10" t="s">
        <v>814</v>
      </c>
      <c r="C73" s="12" t="s">
        <v>337</v>
      </c>
      <c r="D73" s="10" t="s">
        <v>812</v>
      </c>
      <c r="E73" s="36" t="str">
        <f>HYPERLINK("https://youtu.be/fCXjGGCSmD8?t=2030","channel 1")</f>
        <v>channel 1</v>
      </c>
    </row>
    <row r="74">
      <c r="A74" s="7"/>
      <c r="B74" s="10" t="s">
        <v>81</v>
      </c>
      <c r="C74" s="12" t="s">
        <v>37</v>
      </c>
      <c r="D74" s="10" t="s">
        <v>809</v>
      </c>
      <c r="E74" s="13" t="str">
        <f>HYPERLINK("https://youtu.be/uUr-jDvd8hQ?t=1791","channel 2")</f>
        <v>channel 2</v>
      </c>
    </row>
    <row r="75">
      <c r="A75" s="7"/>
      <c r="B75" s="10" t="s">
        <v>814</v>
      </c>
      <c r="C75" s="12" t="s">
        <v>47</v>
      </c>
      <c r="D75" s="10" t="s">
        <v>810</v>
      </c>
      <c r="E75" s="36" t="str">
        <f>HYPERLINK("https://youtu.be/fCXjGGCSmD8?t=3000","channel 1")</f>
        <v>channel 1</v>
      </c>
    </row>
    <row r="76">
      <c r="A76" s="7"/>
      <c r="B76" s="10" t="s">
        <v>812</v>
      </c>
      <c r="C76" s="12" t="s">
        <v>57</v>
      </c>
      <c r="D76" s="10" t="s">
        <v>809</v>
      </c>
      <c r="E76" s="13" t="str">
        <f>HYPERLINK("https://youtu.be/uUr-jDvd8hQ?t=2704","channel 2")</f>
        <v>channel 2</v>
      </c>
    </row>
    <row r="77">
      <c r="A77" s="7"/>
      <c r="B77" s="10" t="s">
        <v>814</v>
      </c>
      <c r="C77" s="12" t="s">
        <v>311</v>
      </c>
      <c r="D77" s="10" t="s">
        <v>81</v>
      </c>
      <c r="E77" s="36" t="str">
        <f>HYPERLINK("https://youtu.be/fCXjGGCSmD8?t=3929","channel 1")</f>
        <v>channel 1</v>
      </c>
    </row>
    <row r="78">
      <c r="A78" s="7"/>
      <c r="B78" s="10" t="s">
        <v>812</v>
      </c>
      <c r="C78" s="12" t="s">
        <v>46</v>
      </c>
      <c r="D78" s="10" t="s">
        <v>810</v>
      </c>
      <c r="E78" s="13" t="str">
        <f>HYPERLINK("https://youtu.be/uUr-jDvd8hQ?t=3722","channel 2")</f>
        <v>channel 2</v>
      </c>
    </row>
    <row r="79">
      <c r="A79" s="7"/>
      <c r="B79" s="10" t="s">
        <v>810</v>
      </c>
      <c r="C79" s="12" t="s">
        <v>38</v>
      </c>
      <c r="D79" s="10" t="s">
        <v>809</v>
      </c>
      <c r="E79" s="36" t="str">
        <f>HYPERLINK("https://youtu.be/fCXjGGCSmD8?t=4909","channel 1")</f>
        <v>channel 1</v>
      </c>
    </row>
    <row r="80">
      <c r="A80" s="7"/>
      <c r="B80" s="10" t="s">
        <v>812</v>
      </c>
      <c r="C80" s="12" t="s">
        <v>278</v>
      </c>
      <c r="D80" s="10" t="s">
        <v>81</v>
      </c>
      <c r="E80" s="13" t="str">
        <f>HYPERLINK("https://youtu.be/uUr-jDvd8hQ?t=4774","channel 2")</f>
        <v>channel 2</v>
      </c>
    </row>
    <row r="81">
      <c r="A81" s="7"/>
      <c r="B81" s="10" t="s">
        <v>809</v>
      </c>
      <c r="C81" s="12" t="s">
        <v>97</v>
      </c>
      <c r="D81" s="10" t="s">
        <v>814</v>
      </c>
      <c r="E81" s="36" t="str">
        <f>HYPERLINK("https://youtu.be/fCXjGGCSmD8?t=5924","channel 1")</f>
        <v>channel 1</v>
      </c>
    </row>
    <row r="82">
      <c r="A82" s="7"/>
      <c r="B82" s="10" t="s">
        <v>810</v>
      </c>
      <c r="C82" s="12" t="s">
        <v>522</v>
      </c>
      <c r="D82" s="10" t="s">
        <v>81</v>
      </c>
      <c r="E82" s="13" t="str">
        <f>HYPERLINK("https://youtu.be/uUr-jDvd8hQ?t=5642","channel 2")</f>
        <v>channel 2</v>
      </c>
    </row>
    <row r="83">
      <c r="A83" s="7"/>
      <c r="B83" s="10" t="s">
        <v>812</v>
      </c>
      <c r="C83" s="12" t="s">
        <v>47</v>
      </c>
      <c r="D83" s="10" t="s">
        <v>814</v>
      </c>
      <c r="E83" s="36" t="str">
        <f>HYPERLINK("https://youtu.be/fCXjGGCSmD8?t=6847","channel 1")</f>
        <v>channel 1</v>
      </c>
    </row>
    <row r="84">
      <c r="A84" s="7"/>
      <c r="B84" s="10" t="s">
        <v>809</v>
      </c>
      <c r="C84" s="12" t="s">
        <v>145</v>
      </c>
      <c r="D84" s="10" t="s">
        <v>81</v>
      </c>
      <c r="E84" s="13" t="str">
        <f>HYPERLINK("https://youtu.be/uUr-jDvd8hQ?t=6719","channel 2")</f>
        <v>channel 2</v>
      </c>
    </row>
    <row r="85">
      <c r="A85" s="7"/>
      <c r="B85" s="10" t="s">
        <v>810</v>
      </c>
      <c r="C85" s="12" t="s">
        <v>109</v>
      </c>
      <c r="D85" s="10" t="s">
        <v>814</v>
      </c>
      <c r="E85" s="36" t="str">
        <f>HYPERLINK("https://youtu.be/fCXjGGCSmD8?t=7749","channel 1")</f>
        <v>channel 1</v>
      </c>
    </row>
    <row r="86">
      <c r="A86" s="7"/>
      <c r="B86" s="10" t="s">
        <v>809</v>
      </c>
      <c r="C86" s="12" t="s">
        <v>59</v>
      </c>
      <c r="D86" s="10" t="s">
        <v>812</v>
      </c>
      <c r="E86" s="13" t="str">
        <f>HYPERLINK("https://youtu.be/uUr-jDvd8hQ?t=7712","channel 2")</f>
        <v>channel 2</v>
      </c>
    </row>
    <row r="87">
      <c r="A87" s="7"/>
      <c r="B87" s="10" t="s">
        <v>81</v>
      </c>
      <c r="C87" s="12" t="s">
        <v>818</v>
      </c>
      <c r="D87" s="10" t="s">
        <v>814</v>
      </c>
      <c r="E87" s="36" t="str">
        <f>HYPERLINK("https://youtu.be/fCXjGGCSmD8?t=8625","channel 1")</f>
        <v>channel 1</v>
      </c>
    </row>
    <row r="88">
      <c r="A88" s="7"/>
      <c r="B88" s="10" t="s">
        <v>810</v>
      </c>
      <c r="C88" s="12" t="s">
        <v>32</v>
      </c>
      <c r="D88" s="10" t="s">
        <v>812</v>
      </c>
      <c r="E88" s="13" t="str">
        <f>HYPERLINK("https://youtu.be/uUr-jDvd8hQ?t=8570","channel 2")</f>
        <v>channel 2</v>
      </c>
    </row>
    <row r="89">
      <c r="A89" s="7"/>
      <c r="B89" s="2" t="s">
        <v>819</v>
      </c>
      <c r="C89" s="3"/>
      <c r="D89" s="4"/>
      <c r="E89" s="43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820</v>
      </c>
      <c r="C91" s="12" t="s">
        <v>44</v>
      </c>
      <c r="D91" s="10" t="s">
        <v>96</v>
      </c>
      <c r="E91" s="36" t="str">
        <f>HYPERLINK("https://youtu.be/dkF3qG1_U7w","channel 1")</f>
        <v>channel 1</v>
      </c>
    </row>
    <row r="92">
      <c r="A92" s="7"/>
      <c r="B92" s="10" t="s">
        <v>822</v>
      </c>
      <c r="C92" s="12" t="s">
        <v>226</v>
      </c>
      <c r="D92" s="10" t="s">
        <v>271</v>
      </c>
      <c r="E92" s="13" t="str">
        <f>HYPERLINK("https://youtu.be/vizBeLpHSwQ","channel 2")</f>
        <v>channel 2</v>
      </c>
    </row>
    <row r="93">
      <c r="A93" s="7"/>
      <c r="B93" s="10" t="s">
        <v>823</v>
      </c>
      <c r="C93" s="12" t="s">
        <v>251</v>
      </c>
      <c r="D93" s="10" t="s">
        <v>820</v>
      </c>
      <c r="E93" s="36" t="str">
        <f>HYPERLINK("https://youtu.be/dkF3qG1_U7w?t=1056","channel 1")</f>
        <v>channel 1</v>
      </c>
    </row>
    <row r="94">
      <c r="A94" s="7"/>
      <c r="B94" s="10" t="s">
        <v>822</v>
      </c>
      <c r="C94" s="12" t="s">
        <v>30</v>
      </c>
      <c r="D94" s="10" t="s">
        <v>96</v>
      </c>
      <c r="E94" s="13" t="str">
        <f>HYPERLINK("https://youtu.be/vizBeLpHSwQ?t=955","channel 2")</f>
        <v>channel 2</v>
      </c>
    </row>
    <row r="95">
      <c r="A95" s="7"/>
      <c r="B95" s="10" t="s">
        <v>823</v>
      </c>
      <c r="C95" s="12" t="s">
        <v>97</v>
      </c>
      <c r="D95" s="10" t="s">
        <v>271</v>
      </c>
      <c r="E95" s="36" t="str">
        <f>HYPERLINK("https://youtu.be/dkF3qG1_U7w?t=1941","channel 1")</f>
        <v>channel 1</v>
      </c>
    </row>
    <row r="96">
      <c r="A96" s="7"/>
      <c r="B96" s="10" t="s">
        <v>822</v>
      </c>
      <c r="C96" s="12" t="s">
        <v>35</v>
      </c>
      <c r="D96" s="10" t="s">
        <v>820</v>
      </c>
      <c r="E96" s="13" t="str">
        <f>HYPERLINK("https://youtu.be/vizBeLpHSwQ?t=1893","channel 2")</f>
        <v>channel 2</v>
      </c>
    </row>
    <row r="97">
      <c r="A97" s="7"/>
      <c r="B97" s="10" t="s">
        <v>823</v>
      </c>
      <c r="C97" s="12" t="s">
        <v>148</v>
      </c>
      <c r="D97" s="10" t="s">
        <v>96</v>
      </c>
      <c r="E97" s="36" t="str">
        <f>HYPERLINK("https://youtu.be/dkF3qG1_U7w?t=2845","channel 1")</f>
        <v>channel 1</v>
      </c>
    </row>
    <row r="98">
      <c r="A98" s="7"/>
      <c r="B98" s="10" t="s">
        <v>271</v>
      </c>
      <c r="C98" s="12" t="s">
        <v>337</v>
      </c>
      <c r="D98" s="10" t="s">
        <v>820</v>
      </c>
      <c r="E98" s="13" t="str">
        <f>HYPERLINK("https://youtu.be/vizBeLpHSwQ?t=2763","channel 2")</f>
        <v>channel 2</v>
      </c>
    </row>
    <row r="99">
      <c r="A99" s="7"/>
      <c r="B99" s="10" t="s">
        <v>823</v>
      </c>
      <c r="C99" s="12" t="s">
        <v>47</v>
      </c>
      <c r="D99" s="10" t="s">
        <v>822</v>
      </c>
      <c r="E99" s="36" t="str">
        <f>HYPERLINK("https://youtu.be/dkF3qG1_U7w?t=3737","channel 1")</f>
        <v>channel 1</v>
      </c>
    </row>
    <row r="100">
      <c r="A100" s="7"/>
      <c r="B100" s="10" t="s">
        <v>271</v>
      </c>
      <c r="C100" s="12" t="s">
        <v>47</v>
      </c>
      <c r="D100" s="10" t="s">
        <v>96</v>
      </c>
      <c r="E100" s="13" t="str">
        <f>HYPERLINK("https://youtu.be/vizBeLpHSwQ?t=3635","channel 2")</f>
        <v>channel 2</v>
      </c>
    </row>
    <row r="101">
      <c r="A101" s="7"/>
      <c r="B101" s="10" t="s">
        <v>96</v>
      </c>
      <c r="C101" s="12" t="s">
        <v>32</v>
      </c>
      <c r="D101" s="10" t="s">
        <v>820</v>
      </c>
      <c r="E101" s="36" t="str">
        <f>HYPERLINK("https://youtu.be/dkF3qG1_U7w?t=4666","channel 1")</f>
        <v>channel 1</v>
      </c>
    </row>
    <row r="102">
      <c r="A102" s="7"/>
      <c r="B102" s="10" t="s">
        <v>271</v>
      </c>
      <c r="C102" s="12" t="s">
        <v>395</v>
      </c>
      <c r="D102" s="10" t="s">
        <v>822</v>
      </c>
      <c r="E102" s="13" t="str">
        <f>HYPERLINK("https://youtu.be/vizBeLpHSwQ?t=4594","channel 2")</f>
        <v>channel 2</v>
      </c>
    </row>
    <row r="103">
      <c r="A103" s="7"/>
      <c r="B103" s="10" t="s">
        <v>820</v>
      </c>
      <c r="C103" s="12" t="s">
        <v>117</v>
      </c>
      <c r="D103" s="10" t="s">
        <v>823</v>
      </c>
      <c r="E103" s="36" t="str">
        <f>HYPERLINK("https://youtu.be/dkF3qG1_U7w?t=5533","channel 1")</f>
        <v>channel 1</v>
      </c>
    </row>
    <row r="104">
      <c r="A104" s="7"/>
      <c r="B104" s="10" t="s">
        <v>96</v>
      </c>
      <c r="C104" s="12" t="s">
        <v>56</v>
      </c>
      <c r="D104" s="10" t="s">
        <v>822</v>
      </c>
      <c r="E104" s="13" t="str">
        <f>HYPERLINK("https://youtu.be/vizBeLpHSwQ?t=5504","channel 2")</f>
        <v>channel 2</v>
      </c>
    </row>
    <row r="105">
      <c r="A105" s="7"/>
      <c r="B105" s="10" t="s">
        <v>271</v>
      </c>
      <c r="C105" s="12" t="s">
        <v>322</v>
      </c>
      <c r="D105" s="10" t="s">
        <v>823</v>
      </c>
      <c r="E105" s="36" t="str">
        <f>HYPERLINK("https://youtu.be/dkF3qG1_U7w?t=6377","channel 1")</f>
        <v>channel 1</v>
      </c>
    </row>
    <row r="106">
      <c r="A106" s="7"/>
      <c r="B106" s="10" t="s">
        <v>820</v>
      </c>
      <c r="C106" s="12" t="s">
        <v>85</v>
      </c>
      <c r="D106" s="10" t="s">
        <v>822</v>
      </c>
      <c r="E106" s="13" t="str">
        <f>HYPERLINK("https://youtu.be/vizBeLpHSwQ?t=6363","channel 2")</f>
        <v>channel 2</v>
      </c>
    </row>
    <row r="107">
      <c r="A107" s="7"/>
      <c r="B107" s="10" t="s">
        <v>96</v>
      </c>
      <c r="C107" s="12" t="s">
        <v>34</v>
      </c>
      <c r="D107" s="10" t="s">
        <v>823</v>
      </c>
      <c r="E107" s="36" t="str">
        <f>HYPERLINK("https://youtu.be/dkF3qG1_U7w?t=7353","channel 1")</f>
        <v>channel 1</v>
      </c>
    </row>
    <row r="108">
      <c r="A108" s="7"/>
      <c r="B108" s="10" t="s">
        <v>820</v>
      </c>
      <c r="C108" s="12" t="s">
        <v>830</v>
      </c>
      <c r="D108" s="10" t="s">
        <v>271</v>
      </c>
      <c r="E108" s="13" t="str">
        <f>HYPERLINK("https://youtu.be/vizBeLpHSwQ?t=7314","channel 2")</f>
        <v>channel 2</v>
      </c>
    </row>
    <row r="109">
      <c r="A109" s="7"/>
      <c r="B109" s="10" t="s">
        <v>822</v>
      </c>
      <c r="C109" s="12" t="s">
        <v>832</v>
      </c>
      <c r="D109" s="10" t="s">
        <v>823</v>
      </c>
      <c r="E109" s="36" t="str">
        <f>HYPERLINK("https://youtu.be/dkF3qG1_U7w?t=8281","channel 1")</f>
        <v>channel 1</v>
      </c>
    </row>
    <row r="110">
      <c r="A110" s="7"/>
      <c r="B110" s="10" t="s">
        <v>96</v>
      </c>
      <c r="C110" s="12" t="s">
        <v>49</v>
      </c>
      <c r="D110" s="10" t="s">
        <v>271</v>
      </c>
      <c r="E110" s="13" t="str">
        <f>HYPERLINK("https://youtu.be/vizBeLpHSwQ?t=8208","channel 2")</f>
        <v>channel 2</v>
      </c>
    </row>
    <row r="111">
      <c r="A111" s="7"/>
      <c r="B111" s="6" t="s">
        <v>320</v>
      </c>
      <c r="C111" s="3"/>
      <c r="D111" s="4"/>
      <c r="E111" s="43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835</v>
      </c>
      <c r="C113" s="12" t="s">
        <v>37</v>
      </c>
      <c r="D113" s="10" t="s">
        <v>836</v>
      </c>
      <c r="E113" s="36" t="str">
        <f>HYPERLINK("https://youtu.be/ejaAyX4k5oQ","channel 1")</f>
        <v>channel 1</v>
      </c>
    </row>
    <row r="114">
      <c r="A114" s="7"/>
      <c r="B114" s="10" t="s">
        <v>837</v>
      </c>
      <c r="C114" s="12" t="s">
        <v>157</v>
      </c>
      <c r="D114" s="10" t="s">
        <v>838</v>
      </c>
      <c r="E114" s="13" t="str">
        <f>HYPERLINK("https://youtu.be/RjIVK1mbSxc","channel 2")</f>
        <v>channel 2</v>
      </c>
    </row>
    <row r="115">
      <c r="A115" s="7"/>
      <c r="B115" s="10" t="s">
        <v>839</v>
      </c>
      <c r="C115" s="12" t="s">
        <v>103</v>
      </c>
      <c r="D115" s="10" t="s">
        <v>835</v>
      </c>
      <c r="E115" s="36" t="str">
        <f>HYPERLINK("https://youtu.be/ejaAyX4k5oQ?t=953","channel 1")</f>
        <v>channel 1</v>
      </c>
    </row>
    <row r="116">
      <c r="A116" s="7"/>
      <c r="B116" s="10" t="s">
        <v>837</v>
      </c>
      <c r="C116" s="12" t="s">
        <v>212</v>
      </c>
      <c r="D116" s="10" t="s">
        <v>836</v>
      </c>
      <c r="E116" s="13" t="str">
        <f>HYPERLINK("https://youtu.be/RjIVK1mbSxc?t=944","channel 2")</f>
        <v>channel 2</v>
      </c>
    </row>
    <row r="117">
      <c r="A117" s="7"/>
      <c r="B117" s="10" t="s">
        <v>839</v>
      </c>
      <c r="C117" s="12" t="s">
        <v>157</v>
      </c>
      <c r="D117" s="10" t="s">
        <v>838</v>
      </c>
      <c r="E117" s="36" t="str">
        <f>HYPERLINK("https://youtu.be/ejaAyX4k5oQ?t=1850","channel 1")</f>
        <v>channel 1</v>
      </c>
    </row>
    <row r="118">
      <c r="A118" s="7"/>
      <c r="B118" s="10" t="s">
        <v>837</v>
      </c>
      <c r="C118" s="12" t="s">
        <v>555</v>
      </c>
      <c r="D118" s="10" t="s">
        <v>835</v>
      </c>
      <c r="E118" s="13" t="str">
        <f>HYPERLINK("https://youtu.be/RjIVK1mbSxc?t=1813","channel 2")</f>
        <v>channel 2</v>
      </c>
    </row>
    <row r="119">
      <c r="A119" s="7"/>
      <c r="B119" s="10" t="s">
        <v>839</v>
      </c>
      <c r="C119" s="12" t="s">
        <v>97</v>
      </c>
      <c r="D119" s="10" t="s">
        <v>836</v>
      </c>
      <c r="E119" s="36" t="str">
        <f>HYPERLINK("https://youtu.be/ejaAyX4k5oQ?t=2816","channel 1")</f>
        <v>channel 1</v>
      </c>
    </row>
    <row r="120">
      <c r="A120" s="7"/>
      <c r="B120" s="10" t="s">
        <v>838</v>
      </c>
      <c r="C120" s="12" t="s">
        <v>841</v>
      </c>
      <c r="D120" s="10" t="s">
        <v>835</v>
      </c>
      <c r="E120" s="13" t="str">
        <f>HYPERLINK("https://youtu.be/RjIVK1mbSxc?t=2725","channel 2")</f>
        <v>channel 2</v>
      </c>
    </row>
    <row r="121">
      <c r="A121" s="7"/>
      <c r="B121" s="10" t="s">
        <v>839</v>
      </c>
      <c r="C121" s="12" t="s">
        <v>297</v>
      </c>
      <c r="D121" s="10" t="s">
        <v>837</v>
      </c>
      <c r="E121" s="36" t="str">
        <f>HYPERLINK("https://youtu.be/ejaAyX4k5oQ?t=3747","channel 1")</f>
        <v>channel 1</v>
      </c>
    </row>
    <row r="122">
      <c r="A122" s="7"/>
      <c r="B122" s="10" t="s">
        <v>838</v>
      </c>
      <c r="C122" s="12" t="s">
        <v>459</v>
      </c>
      <c r="D122" s="10" t="s">
        <v>836</v>
      </c>
      <c r="E122" s="13" t="str">
        <f>HYPERLINK("https://youtu.be/RjIVK1mbSxc?t=3727","channel 2")</f>
        <v>channel 2</v>
      </c>
    </row>
    <row r="123">
      <c r="A123" s="7"/>
      <c r="B123" s="10" t="s">
        <v>836</v>
      </c>
      <c r="C123" s="12" t="s">
        <v>32</v>
      </c>
      <c r="D123" s="10" t="s">
        <v>835</v>
      </c>
      <c r="E123" s="36" t="str">
        <f>HYPERLINK("https://youtu.be/ejaAyX4k5oQ?t=4654","channel 1")</f>
        <v>channel 1</v>
      </c>
    </row>
    <row r="124">
      <c r="A124" s="7"/>
      <c r="B124" s="10" t="s">
        <v>838</v>
      </c>
      <c r="C124" s="12" t="s">
        <v>145</v>
      </c>
      <c r="D124" s="10" t="s">
        <v>837</v>
      </c>
      <c r="E124" s="13" t="str">
        <f>HYPERLINK("https://youtu.be/RjIVK1mbSxc?t=4649","channel 2")</f>
        <v>channel 2</v>
      </c>
    </row>
    <row r="125">
      <c r="A125" s="7"/>
      <c r="B125" s="10" t="s">
        <v>835</v>
      </c>
      <c r="C125" s="12" t="s">
        <v>37</v>
      </c>
      <c r="D125" s="10" t="s">
        <v>839</v>
      </c>
      <c r="E125" s="36" t="str">
        <f>HYPERLINK("https://youtu.be/ejaAyX4k5oQ?t=5573","channel 1")</f>
        <v>channel 1</v>
      </c>
    </row>
    <row r="126">
      <c r="A126" s="7"/>
      <c r="B126" s="10" t="s">
        <v>836</v>
      </c>
      <c r="C126" s="12" t="s">
        <v>59</v>
      </c>
      <c r="D126" s="10" t="s">
        <v>837</v>
      </c>
      <c r="E126" s="13" t="str">
        <f>HYPERLINK("https://youtu.be/RjIVK1mbSxc?t=5587","channel 2")</f>
        <v>channel 2</v>
      </c>
    </row>
    <row r="127">
      <c r="A127" s="7"/>
      <c r="B127" s="10" t="s">
        <v>838</v>
      </c>
      <c r="C127" s="12" t="s">
        <v>42</v>
      </c>
      <c r="D127" s="10" t="s">
        <v>839</v>
      </c>
      <c r="E127" s="36" t="str">
        <f>HYPERLINK("https://youtu.be/ejaAyX4k5oQ?t=6481","channel 1")</f>
        <v>channel 1</v>
      </c>
    </row>
    <row r="128">
      <c r="A128" s="7"/>
      <c r="B128" s="10" t="s">
        <v>835</v>
      </c>
      <c r="C128" s="12" t="s">
        <v>157</v>
      </c>
      <c r="D128" s="10" t="s">
        <v>837</v>
      </c>
      <c r="E128" s="13" t="str">
        <f>HYPERLINK("https://youtu.be/RjIVK1mbSxc?t=6486","channel 2")</f>
        <v>channel 2</v>
      </c>
    </row>
    <row r="129">
      <c r="A129" s="7"/>
      <c r="B129" s="10" t="s">
        <v>836</v>
      </c>
      <c r="C129" s="12" t="s">
        <v>74</v>
      </c>
      <c r="D129" s="10" t="s">
        <v>839</v>
      </c>
      <c r="E129" s="36" t="str">
        <f>HYPERLINK("https://youtu.be/ejaAyX4k5oQ?t=7464","channel 1")</f>
        <v>channel 1</v>
      </c>
    </row>
    <row r="130">
      <c r="A130" s="7"/>
      <c r="B130" s="10" t="s">
        <v>835</v>
      </c>
      <c r="C130" s="12" t="s">
        <v>34</v>
      </c>
      <c r="D130" s="10" t="s">
        <v>838</v>
      </c>
      <c r="E130" s="13" t="str">
        <f>HYPERLINK("https://youtu.be/RjIVK1mbSxc?t=7413","channel 2")</f>
        <v>channel 2</v>
      </c>
    </row>
    <row r="131">
      <c r="A131" s="7"/>
      <c r="B131" s="10" t="s">
        <v>837</v>
      </c>
      <c r="C131" s="12" t="s">
        <v>384</v>
      </c>
      <c r="D131" s="10" t="s">
        <v>839</v>
      </c>
      <c r="E131" s="36" t="str">
        <f>HYPERLINK("https://youtu.be/ejaAyX4k5oQ?t=8374","channel 1")</f>
        <v>channel 1</v>
      </c>
    </row>
    <row r="132">
      <c r="A132" s="25"/>
      <c r="B132" s="10" t="s">
        <v>836</v>
      </c>
      <c r="C132" s="12" t="s">
        <v>37</v>
      </c>
      <c r="D132" s="10" t="s">
        <v>838</v>
      </c>
      <c r="E132" s="13" t="str">
        <f>HYPERLINK("https://youtu.be/RjIVK1mbSxc?t=8310","channel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299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762</v>
      </c>
      <c r="C3" s="12" t="s">
        <v>47</v>
      </c>
      <c r="D3" s="10" t="s">
        <v>764</v>
      </c>
      <c r="E3" s="36" t="str">
        <f>HYPERLINK("https://youtu.be/7vUSOgDEvAw","channel 1")</f>
        <v>channel 1</v>
      </c>
    </row>
    <row r="4">
      <c r="A4" s="7"/>
      <c r="B4" s="10" t="s">
        <v>765</v>
      </c>
      <c r="C4" s="37" t="s">
        <v>144</v>
      </c>
      <c r="D4" s="10" t="s">
        <v>767</v>
      </c>
      <c r="E4" s="13" t="str">
        <f>HYPERLINK("https://youtu.be/-aSXapAZAr8","channel 2")</f>
        <v>channel 2</v>
      </c>
    </row>
    <row r="5">
      <c r="A5" s="7"/>
      <c r="B5" s="10" t="s">
        <v>432</v>
      </c>
      <c r="C5" s="12" t="s">
        <v>160</v>
      </c>
      <c r="D5" s="10" t="s">
        <v>762</v>
      </c>
      <c r="E5" s="36" t="str">
        <f>HYPERLINK("https://youtu.be/7vUSOgDEvAw?t=989","channel 1")</f>
        <v>channel 1</v>
      </c>
    </row>
    <row r="6">
      <c r="A6" s="7"/>
      <c r="B6" s="10" t="s">
        <v>765</v>
      </c>
      <c r="C6" s="12" t="s">
        <v>522</v>
      </c>
      <c r="D6" s="10" t="s">
        <v>764</v>
      </c>
      <c r="E6" s="13" t="str">
        <f>HYPERLINK("https://youtu.be/-aSXapAZAr8?t=1000","channel 2")</f>
        <v>channel 2</v>
      </c>
    </row>
    <row r="7">
      <c r="A7" s="7"/>
      <c r="B7" s="10" t="s">
        <v>432</v>
      </c>
      <c r="C7" s="12" t="s">
        <v>278</v>
      </c>
      <c r="D7" s="10" t="s">
        <v>767</v>
      </c>
      <c r="E7" s="36" t="str">
        <f>HYPERLINK("https://youtu.be/7vUSOgDEvAw?t=1884","channel 1")</f>
        <v>channel 1</v>
      </c>
    </row>
    <row r="8">
      <c r="A8" s="7"/>
      <c r="B8" s="10" t="s">
        <v>765</v>
      </c>
      <c r="C8" s="12" t="s">
        <v>108</v>
      </c>
      <c r="D8" s="10" t="s">
        <v>762</v>
      </c>
      <c r="E8" s="13" t="str">
        <f>HYPERLINK("https://youtu.be/-aSXapAZAr8?t=1927","channel 2")</f>
        <v>channel 2</v>
      </c>
    </row>
    <row r="9">
      <c r="A9" s="7"/>
      <c r="B9" s="10" t="s">
        <v>432</v>
      </c>
      <c r="C9" s="12" t="s">
        <v>193</v>
      </c>
      <c r="D9" s="10" t="s">
        <v>764</v>
      </c>
      <c r="E9" s="36" t="str">
        <f>HYPERLINK("https://youtu.be/7vUSOgDEvAw?t=2812","channel 1")</f>
        <v>channel 1</v>
      </c>
    </row>
    <row r="10">
      <c r="A10" s="7"/>
      <c r="B10" s="10" t="s">
        <v>767</v>
      </c>
      <c r="C10" s="12" t="s">
        <v>55</v>
      </c>
      <c r="D10" s="10" t="s">
        <v>762</v>
      </c>
      <c r="E10" s="13" t="str">
        <f>HYPERLINK("https://youtu.be/-aSXapAZAr8?t=2732","channel 2")</f>
        <v>channel 2</v>
      </c>
    </row>
    <row r="11">
      <c r="A11" s="7"/>
      <c r="B11" s="10" t="s">
        <v>432</v>
      </c>
      <c r="C11" s="12" t="s">
        <v>34</v>
      </c>
      <c r="D11" s="10" t="s">
        <v>765</v>
      </c>
      <c r="E11" s="36" t="str">
        <f>HYPERLINK("https://youtu.be/7vUSOgDEvAw?t=3764","channel 1")</f>
        <v>channel 1</v>
      </c>
    </row>
    <row r="12">
      <c r="A12" s="7"/>
      <c r="B12" s="10" t="s">
        <v>767</v>
      </c>
      <c r="C12" s="12" t="s">
        <v>771</v>
      </c>
      <c r="D12" s="10" t="s">
        <v>764</v>
      </c>
      <c r="E12" s="13" t="str">
        <f>HYPERLINK("https://youtu.be/-aSXapAZAr8?t=3667","channel 2")</f>
        <v>channel 2</v>
      </c>
    </row>
    <row r="13">
      <c r="A13" s="7"/>
      <c r="B13" s="10" t="s">
        <v>764</v>
      </c>
      <c r="C13" s="12" t="s">
        <v>143</v>
      </c>
      <c r="D13" s="10" t="s">
        <v>762</v>
      </c>
      <c r="E13" s="36" t="str">
        <f>HYPERLINK("https://youtu.be/7vUSOgDEvAw?t=4702","channel 1")</f>
        <v>channel 1</v>
      </c>
    </row>
    <row r="14">
      <c r="A14" s="7"/>
      <c r="B14" s="10" t="s">
        <v>767</v>
      </c>
      <c r="C14" s="12" t="s">
        <v>77</v>
      </c>
      <c r="D14" s="10" t="s">
        <v>765</v>
      </c>
      <c r="E14" s="13" t="str">
        <f>HYPERLINK("https://youtu.be/-aSXapAZAr8?t=4631","channel 2")</f>
        <v>channel 2</v>
      </c>
    </row>
    <row r="15">
      <c r="A15" s="7"/>
      <c r="B15" s="10" t="s">
        <v>762</v>
      </c>
      <c r="C15" s="12" t="s">
        <v>34</v>
      </c>
      <c r="D15" s="10" t="s">
        <v>432</v>
      </c>
      <c r="E15" s="36" t="str">
        <f>HYPERLINK("https://youtu.be/7vUSOgDEvAw?t=5613","channel 1")</f>
        <v>channel 1</v>
      </c>
    </row>
    <row r="16">
      <c r="A16" s="7"/>
      <c r="B16" s="10" t="s">
        <v>764</v>
      </c>
      <c r="C16" s="12" t="s">
        <v>223</v>
      </c>
      <c r="D16" s="10" t="s">
        <v>765</v>
      </c>
      <c r="E16" s="13" t="str">
        <f>HYPERLINK("https://youtu.be/-aSXapAZAr8?t=5798","channel 2")</f>
        <v>channel 2</v>
      </c>
    </row>
    <row r="17">
      <c r="A17" s="7"/>
      <c r="B17" s="10" t="s">
        <v>767</v>
      </c>
      <c r="C17" s="12" t="s">
        <v>337</v>
      </c>
      <c r="D17" s="10" t="s">
        <v>432</v>
      </c>
      <c r="E17" s="36" t="str">
        <f>HYPERLINK("https://youtu.be/7vUSOgDEvAw?t=6852","channel 1")</f>
        <v>channel 1</v>
      </c>
    </row>
    <row r="18">
      <c r="A18" s="7"/>
      <c r="B18" s="10" t="s">
        <v>762</v>
      </c>
      <c r="C18" s="12" t="s">
        <v>84</v>
      </c>
      <c r="D18" s="10" t="s">
        <v>765</v>
      </c>
      <c r="E18" s="13" t="str">
        <f>HYPERLINK("https://youtu.be/-aSXapAZAr8?t=6816","channel 2")</f>
        <v>channel 2</v>
      </c>
    </row>
    <row r="19">
      <c r="A19" s="7"/>
      <c r="B19" s="10" t="s">
        <v>764</v>
      </c>
      <c r="C19" s="12" t="s">
        <v>384</v>
      </c>
      <c r="D19" s="10" t="s">
        <v>432</v>
      </c>
      <c r="E19" s="36" t="str">
        <f>HYPERLINK("https://youtu.be/7vUSOgDEvAw?t=7763","channel 1")</f>
        <v>channel 1</v>
      </c>
    </row>
    <row r="20">
      <c r="A20" s="7"/>
      <c r="B20" s="10" t="s">
        <v>762</v>
      </c>
      <c r="C20" s="12" t="s">
        <v>142</v>
      </c>
      <c r="D20" s="10" t="s">
        <v>767</v>
      </c>
      <c r="E20" s="13" t="str">
        <f>HYPERLINK("https://youtu.be/-aSXapAZAr8?t=7724","channel 2")</f>
        <v>channel 2</v>
      </c>
    </row>
    <row r="21">
      <c r="A21" s="7"/>
      <c r="B21" s="10" t="s">
        <v>765</v>
      </c>
      <c r="C21" s="12" t="s">
        <v>10</v>
      </c>
      <c r="D21" s="10" t="s">
        <v>432</v>
      </c>
      <c r="E21" s="36" t="str">
        <f>HYPERLINK("https://youtu.be/7vUSOgDEvAw?t=8733","channel 1")</f>
        <v>channel 1</v>
      </c>
    </row>
    <row r="22">
      <c r="A22" s="7"/>
      <c r="B22" s="10" t="s">
        <v>764</v>
      </c>
      <c r="C22" s="12" t="s">
        <v>772</v>
      </c>
      <c r="D22" s="10" t="s">
        <v>767</v>
      </c>
      <c r="E22" s="13" t="str">
        <f>HYPERLINK("https://youtu.be/-aSXapAZAr8?t=8623","channel 2")</f>
        <v>channel 2</v>
      </c>
    </row>
    <row r="23">
      <c r="A23" s="7"/>
      <c r="B23" s="2" t="s">
        <v>773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774</v>
      </c>
      <c r="C25" s="12" t="s">
        <v>89</v>
      </c>
      <c r="D25" s="10" t="s">
        <v>775</v>
      </c>
      <c r="E25" s="36" t="str">
        <f>HYPERLINK("https://youtu.be/vqdbdpVe2EQ","channel 1")</f>
        <v>channel 1</v>
      </c>
    </row>
    <row r="26">
      <c r="A26" s="7"/>
      <c r="B26" s="10" t="s">
        <v>777</v>
      </c>
      <c r="C26" s="12" t="s">
        <v>142</v>
      </c>
      <c r="D26" s="10" t="s">
        <v>778</v>
      </c>
      <c r="E26" s="13" t="str">
        <f>HYPERLINK("https://youtu.be/8qEh9V-ZpfA","channel 2")</f>
        <v>channel 2</v>
      </c>
    </row>
    <row r="27">
      <c r="A27" s="7"/>
      <c r="B27" s="10" t="s">
        <v>779</v>
      </c>
      <c r="C27" s="12" t="s">
        <v>145</v>
      </c>
      <c r="D27" s="10" t="s">
        <v>774</v>
      </c>
      <c r="E27" s="36" t="str">
        <f>HYPERLINK("https://youtu.be/vqdbdpVe2EQ?t=895","channel 1")</f>
        <v>channel 1</v>
      </c>
    </row>
    <row r="28">
      <c r="A28" s="7"/>
      <c r="B28" s="10" t="s">
        <v>777</v>
      </c>
      <c r="C28" s="12" t="s">
        <v>74</v>
      </c>
      <c r="D28" s="10" t="s">
        <v>775</v>
      </c>
      <c r="E28" s="13" t="str">
        <f>HYPERLINK("https://youtu.be/8qEh9V-ZpfA?t=925","channel 2")</f>
        <v>channel 2</v>
      </c>
    </row>
    <row r="29">
      <c r="A29" s="7"/>
      <c r="B29" s="10" t="s">
        <v>779</v>
      </c>
      <c r="C29" s="12" t="s">
        <v>180</v>
      </c>
      <c r="D29" s="10" t="s">
        <v>778</v>
      </c>
      <c r="E29" s="36" t="str">
        <f>HYPERLINK("https://youtu.be/vqdbdpVe2EQ?t=1813","channel 1")</f>
        <v>channel 1</v>
      </c>
    </row>
    <row r="30">
      <c r="A30" s="7"/>
      <c r="B30" s="10" t="s">
        <v>777</v>
      </c>
      <c r="C30" s="12" t="s">
        <v>156</v>
      </c>
      <c r="D30" s="10" t="s">
        <v>774</v>
      </c>
      <c r="E30" s="13" t="str">
        <f>HYPERLINK("https://youtu.be/8qEh9V-ZpfA?t=1971","channel 2")</f>
        <v>channel 2</v>
      </c>
    </row>
    <row r="31">
      <c r="A31" s="7"/>
      <c r="B31" s="10" t="s">
        <v>779</v>
      </c>
      <c r="C31" s="12" t="s">
        <v>135</v>
      </c>
      <c r="D31" s="10" t="s">
        <v>775</v>
      </c>
      <c r="E31" s="36" t="str">
        <f>HYPERLINK("https://youtu.be/vqdbdpVe2EQ?t=2800","channel 1")</f>
        <v>channel 1</v>
      </c>
    </row>
    <row r="32">
      <c r="A32" s="7"/>
      <c r="B32" s="10" t="s">
        <v>778</v>
      </c>
      <c r="C32" s="12" t="s">
        <v>93</v>
      </c>
      <c r="D32" s="10" t="s">
        <v>774</v>
      </c>
      <c r="E32" s="13" t="str">
        <f>HYPERLINK("https://youtu.be/8qEh9V-ZpfA?t=2878","channel 2")</f>
        <v>channel 2</v>
      </c>
    </row>
    <row r="33">
      <c r="A33" s="7"/>
      <c r="B33" s="10" t="s">
        <v>779</v>
      </c>
      <c r="C33" s="12" t="s">
        <v>148</v>
      </c>
      <c r="D33" s="10" t="s">
        <v>777</v>
      </c>
      <c r="E33" s="36" t="str">
        <f>HYPERLINK("https://youtu.be/vqdbdpVe2EQ?t=3733","channel 1")</f>
        <v>channel 1</v>
      </c>
    </row>
    <row r="34">
      <c r="A34" s="7"/>
      <c r="B34" s="10" t="s">
        <v>778</v>
      </c>
      <c r="C34" s="12" t="s">
        <v>785</v>
      </c>
      <c r="D34" s="10" t="s">
        <v>775</v>
      </c>
      <c r="E34" s="13" t="str">
        <f>HYPERLINK("https://youtu.be/8qEh9V-ZpfA?t=3850","channel 2")</f>
        <v>channel 2</v>
      </c>
    </row>
    <row r="35">
      <c r="A35" s="7"/>
      <c r="B35" s="10" t="s">
        <v>775</v>
      </c>
      <c r="C35" s="12" t="s">
        <v>188</v>
      </c>
      <c r="D35" s="10" t="s">
        <v>774</v>
      </c>
      <c r="E35" s="36" t="str">
        <f>HYPERLINK("https://youtu.be/vqdbdpVe2EQ?t=4694","channel 1")</f>
        <v>channel 1</v>
      </c>
    </row>
    <row r="36">
      <c r="A36" s="7"/>
      <c r="B36" s="10" t="s">
        <v>778</v>
      </c>
      <c r="C36" s="12" t="s">
        <v>102</v>
      </c>
      <c r="D36" s="10" t="s">
        <v>777</v>
      </c>
      <c r="E36" s="13" t="str">
        <f>HYPERLINK("https://youtu.be/8qEh9V-ZpfA?t=4812","channel 2")</f>
        <v>channel 2</v>
      </c>
    </row>
    <row r="37">
      <c r="A37" s="7"/>
      <c r="B37" s="10" t="s">
        <v>774</v>
      </c>
      <c r="C37" s="12" t="s">
        <v>179</v>
      </c>
      <c r="D37" s="10" t="s">
        <v>779</v>
      </c>
      <c r="E37" s="36" t="str">
        <f>HYPERLINK("https://youtu.be/vqdbdpVe2EQ?t=5656","channel 1")</f>
        <v>channel 1</v>
      </c>
    </row>
    <row r="38">
      <c r="A38" s="7"/>
      <c r="B38" s="10" t="s">
        <v>775</v>
      </c>
      <c r="C38" s="12" t="s">
        <v>226</v>
      </c>
      <c r="D38" s="10" t="s">
        <v>777</v>
      </c>
      <c r="E38" s="13" t="str">
        <f>HYPERLINK("https://youtu.be/8qEh9V-ZpfA?t=5858","channel 2")</f>
        <v>channel 2</v>
      </c>
    </row>
    <row r="39">
      <c r="A39" s="7"/>
      <c r="B39" s="10" t="s">
        <v>778</v>
      </c>
      <c r="C39" s="18" t="s">
        <v>272</v>
      </c>
      <c r="D39" s="10" t="s">
        <v>779</v>
      </c>
      <c r="E39" s="36" t="str">
        <f>HYPERLINK("https://youtu.be/vqdbdpVe2EQ?t=6622","channel 1")</f>
        <v>channel 1</v>
      </c>
    </row>
    <row r="40">
      <c r="A40" s="7"/>
      <c r="B40" s="10" t="s">
        <v>774</v>
      </c>
      <c r="C40" s="12" t="s">
        <v>326</v>
      </c>
      <c r="D40" s="10" t="s">
        <v>777</v>
      </c>
      <c r="E40" s="13" t="str">
        <f>HYPERLINK("https://youtu.be/8qEh9V-ZpfA?t=6783","channel 2")</f>
        <v>channel 2</v>
      </c>
    </row>
    <row r="41">
      <c r="A41" s="7"/>
      <c r="B41" s="10" t="s">
        <v>775</v>
      </c>
      <c r="C41" s="12" t="s">
        <v>105</v>
      </c>
      <c r="D41" s="10" t="s">
        <v>779</v>
      </c>
      <c r="E41" s="36" t="str">
        <f>HYPERLINK("https://youtu.be/vqdbdpVe2EQ?t=7569","channel 1")</f>
        <v>channel 1</v>
      </c>
    </row>
    <row r="42">
      <c r="A42" s="7"/>
      <c r="B42" s="10" t="s">
        <v>774</v>
      </c>
      <c r="C42" s="12" t="s">
        <v>241</v>
      </c>
      <c r="D42" s="10" t="s">
        <v>778</v>
      </c>
      <c r="E42" s="13" t="str">
        <f>HYPERLINK("https://youtu.be/8qEh9V-ZpfA?t=7700","channel 2")</f>
        <v>channel 2</v>
      </c>
    </row>
    <row r="43">
      <c r="A43" s="7"/>
      <c r="B43" s="10" t="s">
        <v>777</v>
      </c>
      <c r="C43" s="12" t="s">
        <v>143</v>
      </c>
      <c r="D43" s="10" t="s">
        <v>779</v>
      </c>
      <c r="E43" s="36" t="str">
        <f>HYPERLINK("https://youtu.be/vqdbdpVe2EQ?t=8496","channel 1")</f>
        <v>channel 1</v>
      </c>
    </row>
    <row r="44">
      <c r="A44" s="7"/>
      <c r="B44" s="10" t="s">
        <v>775</v>
      </c>
      <c r="C44" s="12" t="s">
        <v>787</v>
      </c>
      <c r="D44" s="10" t="s">
        <v>778</v>
      </c>
      <c r="E44" s="13" t="str">
        <f>HYPERLINK("https://youtu.be/8qEh9V-ZpfA?t=8571","channel 2")</f>
        <v>channel 2</v>
      </c>
    </row>
    <row r="45">
      <c r="A45" s="7"/>
      <c r="B45" s="2" t="s">
        <v>700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729</v>
      </c>
      <c r="C47" s="12" t="s">
        <v>61</v>
      </c>
      <c r="D47" s="10" t="s">
        <v>788</v>
      </c>
      <c r="E47" s="36" t="str">
        <f>HYPERLINK("https://youtu.be/IuK74g5VZyc","channel 1")</f>
        <v>channel 1</v>
      </c>
    </row>
    <row r="48">
      <c r="A48" s="7"/>
      <c r="B48" s="10" t="s">
        <v>791</v>
      </c>
      <c r="C48" s="12" t="s">
        <v>46</v>
      </c>
      <c r="D48" s="10" t="s">
        <v>792</v>
      </c>
      <c r="E48" s="13" t="str">
        <f>HYPERLINK("https://youtu.be/kvIc4t8qgxE","channel 2")</f>
        <v>channel 2</v>
      </c>
    </row>
    <row r="49">
      <c r="A49" s="7"/>
      <c r="B49" s="10" t="s">
        <v>794</v>
      </c>
      <c r="C49" s="12" t="s">
        <v>358</v>
      </c>
      <c r="D49" s="10" t="s">
        <v>729</v>
      </c>
      <c r="E49" s="36" t="str">
        <f>HYPERLINK("https://youtu.be/IuK74g5VZyc?t=912","channel 1")</f>
        <v>channel 1</v>
      </c>
    </row>
    <row r="50">
      <c r="A50" s="7"/>
      <c r="B50" s="10" t="s">
        <v>791</v>
      </c>
      <c r="C50" s="12" t="s">
        <v>226</v>
      </c>
      <c r="D50" s="10" t="s">
        <v>788</v>
      </c>
      <c r="E50" s="13" t="str">
        <f>HYPERLINK("https://youtu.be/kvIc4t8qgxE?t=936","channel 2")</f>
        <v>channel 2</v>
      </c>
    </row>
    <row r="51">
      <c r="A51" s="7"/>
      <c r="B51" s="10" t="s">
        <v>794</v>
      </c>
      <c r="C51" s="12" t="s">
        <v>33</v>
      </c>
      <c r="D51" s="10" t="s">
        <v>792</v>
      </c>
      <c r="E51" s="36" t="str">
        <f>HYPERLINK("https://youtu.be/IuK74g5VZyc?t=1858","channel 1")</f>
        <v>channel 1</v>
      </c>
    </row>
    <row r="52">
      <c r="A52" s="7"/>
      <c r="B52" s="10" t="s">
        <v>791</v>
      </c>
      <c r="C52" s="12" t="s">
        <v>522</v>
      </c>
      <c r="D52" s="10" t="s">
        <v>729</v>
      </c>
      <c r="E52" s="13" t="str">
        <f>HYPERLINK("https://youtu.be/kvIc4t8qgxE?t=1819","channel 2")</f>
        <v>channel 2</v>
      </c>
    </row>
    <row r="53">
      <c r="A53" s="7"/>
      <c r="B53" s="10" t="s">
        <v>794</v>
      </c>
      <c r="C53" s="12" t="s">
        <v>179</v>
      </c>
      <c r="D53" s="10" t="s">
        <v>788</v>
      </c>
      <c r="E53" s="36" t="str">
        <f>HYPERLINK("https://youtu.be/IuK74g5VZyc?t=2785","channel 1")</f>
        <v>channel 1</v>
      </c>
    </row>
    <row r="54">
      <c r="A54" s="7"/>
      <c r="B54" s="10" t="s">
        <v>792</v>
      </c>
      <c r="C54" s="12" t="s">
        <v>47</v>
      </c>
      <c r="D54" s="10" t="s">
        <v>729</v>
      </c>
      <c r="E54" s="13" t="str">
        <f>HYPERLINK("https://youtu.be/kvIc4t8qgxE?t=2740","channel 2")</f>
        <v>channel 2</v>
      </c>
    </row>
    <row r="55">
      <c r="A55" s="7"/>
      <c r="B55" s="10" t="s">
        <v>794</v>
      </c>
      <c r="C55" s="12" t="s">
        <v>93</v>
      </c>
      <c r="D55" s="10" t="s">
        <v>791</v>
      </c>
      <c r="E55" s="36" t="str">
        <f>HYPERLINK("https://youtu.be/IuK74g5VZyc?t=3721","channel 1")</f>
        <v>channel 1</v>
      </c>
    </row>
    <row r="56">
      <c r="A56" s="7"/>
      <c r="B56" s="10" t="s">
        <v>792</v>
      </c>
      <c r="C56" s="12" t="s">
        <v>311</v>
      </c>
      <c r="D56" s="10" t="s">
        <v>788</v>
      </c>
      <c r="E56" s="13" t="str">
        <f>HYPERLINK("https://youtu.be/kvIc4t8qgxE?t=3663","channel 2")</f>
        <v>channel 2</v>
      </c>
    </row>
    <row r="57">
      <c r="A57" s="7"/>
      <c r="B57" s="10" t="s">
        <v>788</v>
      </c>
      <c r="C57" s="12" t="s">
        <v>143</v>
      </c>
      <c r="D57" s="10" t="s">
        <v>729</v>
      </c>
      <c r="E57" s="36" t="str">
        <f>HYPERLINK("https://youtu.be/IuK74g5VZyc?t=4619","channel 1")</f>
        <v>channel 1</v>
      </c>
    </row>
    <row r="58">
      <c r="A58" s="7"/>
      <c r="B58" s="10" t="s">
        <v>792</v>
      </c>
      <c r="C58" s="12" t="s">
        <v>61</v>
      </c>
      <c r="D58" s="10" t="s">
        <v>791</v>
      </c>
      <c r="E58" s="13" t="str">
        <f>HYPERLINK("https://youtu.be/kvIc4t8qgxE?t=4590","channel 2")</f>
        <v>channel 2</v>
      </c>
    </row>
    <row r="59">
      <c r="A59" s="7"/>
      <c r="B59" s="10" t="s">
        <v>729</v>
      </c>
      <c r="C59" s="12" t="s">
        <v>365</v>
      </c>
      <c r="D59" s="10" t="s">
        <v>794</v>
      </c>
      <c r="E59" s="36" t="str">
        <f>HYPERLINK("https://youtu.be/IuK74g5VZyc?t=5588","channel 1")</f>
        <v>channel 1</v>
      </c>
    </row>
    <row r="60">
      <c r="A60" s="7"/>
      <c r="B60" s="10" t="s">
        <v>788</v>
      </c>
      <c r="C60" s="12" t="s">
        <v>117</v>
      </c>
      <c r="D60" s="10" t="s">
        <v>791</v>
      </c>
      <c r="E60" s="13" t="str">
        <f>HYPERLINK("https://youtu.be/kvIc4t8qgxE?t=5543","channel 2")</f>
        <v>channel 2</v>
      </c>
    </row>
    <row r="61">
      <c r="A61" s="7"/>
      <c r="B61" s="10" t="s">
        <v>792</v>
      </c>
      <c r="C61" s="12" t="s">
        <v>85</v>
      </c>
      <c r="D61" s="10" t="s">
        <v>794</v>
      </c>
      <c r="E61" s="36" t="str">
        <f>HYPERLINK("https://youtu.be/IuK74g5VZyc?t=6471","channel 1")</f>
        <v>channel 1</v>
      </c>
    </row>
    <row r="62">
      <c r="A62" s="7"/>
      <c r="B62" s="10" t="s">
        <v>729</v>
      </c>
      <c r="C62" s="18" t="s">
        <v>311</v>
      </c>
      <c r="D62" s="10" t="s">
        <v>791</v>
      </c>
      <c r="E62" s="13" t="str">
        <f>HYPERLINK("https://youtu.be/kvIc4t8qgxE?t=6451","channel 2")</f>
        <v>channel 2</v>
      </c>
    </row>
    <row r="63">
      <c r="A63" s="7"/>
      <c r="B63" s="10" t="s">
        <v>788</v>
      </c>
      <c r="C63" s="12" t="s">
        <v>20</v>
      </c>
      <c r="D63" s="10" t="s">
        <v>794</v>
      </c>
      <c r="E63" s="36" t="str">
        <f>HYPERLINK("https://youtu.be/IuK74g5VZyc?t=7367","channel 1")</f>
        <v>channel 1</v>
      </c>
    </row>
    <row r="64">
      <c r="A64" s="7"/>
      <c r="B64" s="10" t="s">
        <v>729</v>
      </c>
      <c r="C64" s="12" t="s">
        <v>228</v>
      </c>
      <c r="D64" s="10" t="s">
        <v>792</v>
      </c>
      <c r="E64" s="13" t="str">
        <f>HYPERLINK("https://youtu.be/kvIc4t8qgxE?t=7431","channel 2")</f>
        <v>channel 2</v>
      </c>
    </row>
    <row r="65">
      <c r="A65" s="7"/>
      <c r="B65" s="10" t="s">
        <v>791</v>
      </c>
      <c r="C65" s="12" t="s">
        <v>49</v>
      </c>
      <c r="D65" s="10" t="s">
        <v>794</v>
      </c>
      <c r="E65" s="36" t="str">
        <f>HYPERLINK("https://youtu.be/IuK74g5VZyc?t=8447","channel 1")</f>
        <v>channel 1</v>
      </c>
    </row>
    <row r="66">
      <c r="A66" s="7"/>
      <c r="B66" s="10" t="s">
        <v>788</v>
      </c>
      <c r="C66" s="12" t="s">
        <v>135</v>
      </c>
      <c r="D66" s="10" t="s">
        <v>792</v>
      </c>
      <c r="E66" s="13" t="str">
        <f>HYPERLINK("https://youtu.be/kvIc4t8qgxE?t=8334","channel 2")</f>
        <v>channel 2</v>
      </c>
    </row>
    <row r="67">
      <c r="A67" s="7"/>
      <c r="B67" s="42" t="s">
        <v>386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802</v>
      </c>
      <c r="C69" s="12" t="s">
        <v>759</v>
      </c>
      <c r="D69" s="10" t="s">
        <v>388</v>
      </c>
      <c r="E69" s="36" t="str">
        <f>HYPERLINK("https://youtu.be/p0rYsEoVbOk","channel 1")</f>
        <v>channel 1</v>
      </c>
    </row>
    <row r="70">
      <c r="A70" s="7"/>
      <c r="B70" s="10" t="s">
        <v>803</v>
      </c>
      <c r="C70" s="12" t="s">
        <v>462</v>
      </c>
      <c r="D70" s="10" t="s">
        <v>804</v>
      </c>
      <c r="E70" s="13" t="str">
        <f>HYPERLINK("https://youtu.be/1SpKqEFu8As","channel 2")</f>
        <v>channel 2</v>
      </c>
    </row>
    <row r="71">
      <c r="A71" s="7"/>
      <c r="B71" s="10" t="s">
        <v>805</v>
      </c>
      <c r="C71" s="12" t="s">
        <v>108</v>
      </c>
      <c r="D71" s="10" t="s">
        <v>802</v>
      </c>
      <c r="E71" s="36" t="str">
        <f>HYPERLINK("https://youtu.be/p0rYsEoVbOk?t=924","channel 1")</f>
        <v>channel 1</v>
      </c>
    </row>
    <row r="72">
      <c r="A72" s="7"/>
      <c r="B72" s="10" t="s">
        <v>803</v>
      </c>
      <c r="C72" s="12" t="s">
        <v>444</v>
      </c>
      <c r="D72" s="10" t="s">
        <v>388</v>
      </c>
      <c r="E72" s="13" t="str">
        <f>HYPERLINK("https://youtu.be/1SpKqEFu8As?t=926","channel 2")</f>
        <v>channel 2</v>
      </c>
    </row>
    <row r="73">
      <c r="A73" s="7"/>
      <c r="B73" s="10" t="s">
        <v>805</v>
      </c>
      <c r="C73" s="12" t="s">
        <v>108</v>
      </c>
      <c r="D73" s="10" t="s">
        <v>804</v>
      </c>
      <c r="E73" s="36" t="str">
        <f>HYPERLINK("https://youtu.be/p0rYsEoVbOk?t=1807","channel 1")</f>
        <v>channel 1</v>
      </c>
    </row>
    <row r="74">
      <c r="A74" s="7"/>
      <c r="B74" s="10" t="s">
        <v>803</v>
      </c>
      <c r="C74" s="12" t="s">
        <v>30</v>
      </c>
      <c r="D74" s="10" t="s">
        <v>802</v>
      </c>
      <c r="E74" s="13" t="str">
        <f>HYPERLINK("https://youtu.be/1SpKqEFu8As?t=1862","channel 2")</f>
        <v>channel 2</v>
      </c>
    </row>
    <row r="75">
      <c r="A75" s="7"/>
      <c r="B75" s="10" t="s">
        <v>805</v>
      </c>
      <c r="C75" s="12" t="s">
        <v>383</v>
      </c>
      <c r="D75" s="10" t="s">
        <v>388</v>
      </c>
      <c r="E75" s="36" t="str">
        <f>HYPERLINK("https://youtu.be/p0rYsEoVbOk?t=2684","channel 1")</f>
        <v>channel 1</v>
      </c>
    </row>
    <row r="76">
      <c r="A76" s="7"/>
      <c r="B76" s="10" t="s">
        <v>804</v>
      </c>
      <c r="C76" s="12" t="s">
        <v>47</v>
      </c>
      <c r="D76" s="10" t="s">
        <v>802</v>
      </c>
      <c r="E76" s="13" t="str">
        <f>HYPERLINK("https://youtu.be/1SpKqEFu8As?t=2766","channel 2")</f>
        <v>channel 2</v>
      </c>
    </row>
    <row r="77">
      <c r="A77" s="7"/>
      <c r="B77" s="10" t="s">
        <v>805</v>
      </c>
      <c r="C77" s="12" t="s">
        <v>216</v>
      </c>
      <c r="D77" s="10" t="s">
        <v>803</v>
      </c>
      <c r="E77" s="36" t="str">
        <f>HYPERLINK("https://youtu.be/p0rYsEoVbOk?t=3652","channel 1")</f>
        <v>channel 1</v>
      </c>
    </row>
    <row r="78">
      <c r="A78" s="7"/>
      <c r="B78" s="10" t="s">
        <v>804</v>
      </c>
      <c r="C78" s="12" t="s">
        <v>671</v>
      </c>
      <c r="D78" s="10" t="s">
        <v>388</v>
      </c>
      <c r="E78" s="13" t="str">
        <f>HYPERLINK("https://youtu.be/1SpKqEFu8As?t=3673","channel 2")</f>
        <v>channel 2</v>
      </c>
    </row>
    <row r="79">
      <c r="A79" s="7"/>
      <c r="B79" s="10" t="s">
        <v>388</v>
      </c>
      <c r="C79" s="12" t="s">
        <v>307</v>
      </c>
      <c r="D79" s="10" t="s">
        <v>802</v>
      </c>
      <c r="E79" s="36" t="str">
        <f>HYPERLINK("https://youtu.be/p0rYsEoVbOk?t=4621","channel 1")</f>
        <v>channel 1</v>
      </c>
    </row>
    <row r="80">
      <c r="A80" s="7"/>
      <c r="B80" s="10" t="s">
        <v>804</v>
      </c>
      <c r="C80" s="12" t="s">
        <v>24</v>
      </c>
      <c r="D80" s="10" t="s">
        <v>803</v>
      </c>
      <c r="E80" s="13" t="str">
        <f>HYPERLINK("https://youtu.be/1SpKqEFu8As?t=4632","channel 2")</f>
        <v>channel 2</v>
      </c>
    </row>
    <row r="81">
      <c r="A81" s="7"/>
      <c r="B81" s="10" t="s">
        <v>802</v>
      </c>
      <c r="C81" s="12" t="s">
        <v>35</v>
      </c>
      <c r="D81" s="10" t="s">
        <v>805</v>
      </c>
      <c r="E81" s="36" t="str">
        <f>HYPERLINK("https://youtu.be/p0rYsEoVbOk?t=5514","channel 1")</f>
        <v>channel 1</v>
      </c>
    </row>
    <row r="82">
      <c r="A82" s="7"/>
      <c r="B82" s="10" t="s">
        <v>388</v>
      </c>
      <c r="C82" s="12" t="s">
        <v>813</v>
      </c>
      <c r="D82" s="10" t="s">
        <v>803</v>
      </c>
      <c r="E82" s="13" t="str">
        <f>HYPERLINK("https://youtu.be/1SpKqEFu8As?t=5522","channel 2")</f>
        <v>channel 2</v>
      </c>
    </row>
    <row r="83">
      <c r="A83" s="7"/>
      <c r="B83" s="10" t="s">
        <v>804</v>
      </c>
      <c r="C83" s="12" t="s">
        <v>99</v>
      </c>
      <c r="D83" s="10" t="s">
        <v>805</v>
      </c>
      <c r="E83" s="36" t="str">
        <f>HYPERLINK("https://youtu.be/p0rYsEoVbOk?t=6437","channel 1")</f>
        <v>channel 1</v>
      </c>
    </row>
    <row r="84">
      <c r="A84" s="7"/>
      <c r="B84" s="10" t="s">
        <v>802</v>
      </c>
      <c r="C84" s="12" t="s">
        <v>144</v>
      </c>
      <c r="D84" s="10" t="s">
        <v>803</v>
      </c>
      <c r="E84" s="13" t="str">
        <f>HYPERLINK("https://youtu.be/1SpKqEFu8As?t=6460","channel 2")</f>
        <v>channel 2</v>
      </c>
    </row>
    <row r="85">
      <c r="A85" s="7"/>
      <c r="B85" s="10" t="s">
        <v>388</v>
      </c>
      <c r="C85" s="12" t="s">
        <v>24</v>
      </c>
      <c r="D85" s="10" t="s">
        <v>805</v>
      </c>
      <c r="E85" s="36" t="str">
        <f>HYPERLINK("https://youtu.be/p0rYsEoVbOk?t=7351","channel 1")</f>
        <v>channel 1</v>
      </c>
    </row>
    <row r="86">
      <c r="A86" s="7"/>
      <c r="B86" s="10" t="s">
        <v>802</v>
      </c>
      <c r="C86" s="12" t="s">
        <v>46</v>
      </c>
      <c r="D86" s="10" t="s">
        <v>804</v>
      </c>
      <c r="E86" s="13" t="str">
        <f>HYPERLINK("https://youtu.be/1SpKqEFu8As?t=7340","channel 2")</f>
        <v>channel 2</v>
      </c>
    </row>
    <row r="87">
      <c r="A87" s="7"/>
      <c r="B87" s="10" t="s">
        <v>803</v>
      </c>
      <c r="C87" s="12" t="s">
        <v>85</v>
      </c>
      <c r="D87" s="10" t="s">
        <v>805</v>
      </c>
      <c r="E87" s="36" t="str">
        <f>HYPERLINK("https://youtu.be/p0rYsEoVbOk?t=8297","channel 1")</f>
        <v>channel 1</v>
      </c>
    </row>
    <row r="88">
      <c r="A88" s="7"/>
      <c r="B88" s="10" t="s">
        <v>388</v>
      </c>
      <c r="C88" s="12" t="s">
        <v>90</v>
      </c>
      <c r="D88" s="10" t="s">
        <v>804</v>
      </c>
      <c r="E88" s="13" t="str">
        <f>HYPERLINK("https://youtu.be/1SpKqEFu8As?t=8341","channel 2")</f>
        <v>channel 2</v>
      </c>
    </row>
    <row r="89">
      <c r="A89" s="7"/>
      <c r="B89" s="2" t="s">
        <v>510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231</v>
      </c>
      <c r="C91" s="12" t="s">
        <v>124</v>
      </c>
      <c r="D91" s="10" t="s">
        <v>815</v>
      </c>
      <c r="E91" s="36" t="str">
        <f>HYPERLINK("https://youtu.be/zMxjy3bSTvM","channel 1")</f>
        <v>channel 1</v>
      </c>
    </row>
    <row r="92">
      <c r="A92" s="7"/>
      <c r="B92" s="10" t="s">
        <v>816</v>
      </c>
      <c r="C92" s="12" t="s">
        <v>224</v>
      </c>
      <c r="D92" s="10" t="s">
        <v>167</v>
      </c>
      <c r="E92" s="13" t="str">
        <f>HYPERLINK("https://youtu.be/SZbqRksmLNk","channel 2")</f>
        <v>channel 2</v>
      </c>
    </row>
    <row r="93">
      <c r="A93" s="7"/>
      <c r="B93" s="10" t="s">
        <v>817</v>
      </c>
      <c r="C93" s="12" t="s">
        <v>418</v>
      </c>
      <c r="D93" s="10" t="s">
        <v>231</v>
      </c>
      <c r="E93" s="36" t="str">
        <f>HYPERLINK("https://youtu.be/zMxjy3bSTvM?t=832","channel 1")</f>
        <v>channel 1</v>
      </c>
    </row>
    <row r="94">
      <c r="A94" s="7"/>
      <c r="B94" s="10" t="s">
        <v>816</v>
      </c>
      <c r="C94" s="12" t="s">
        <v>38</v>
      </c>
      <c r="D94" s="10" t="s">
        <v>815</v>
      </c>
      <c r="E94" s="13" t="str">
        <f>HYPERLINK("https://youtu.be/SZbqRksmLNk?t=987","channel 2")</f>
        <v>channel 2</v>
      </c>
    </row>
    <row r="95">
      <c r="A95" s="7"/>
      <c r="B95" s="10" t="s">
        <v>817</v>
      </c>
      <c r="C95" s="46" t="s">
        <v>34</v>
      </c>
      <c r="D95" s="10" t="s">
        <v>167</v>
      </c>
      <c r="E95" s="36" t="str">
        <f>HYPERLINK("https://youtu.be/zMxjy3bSTvM?t=1729","channel 1")</f>
        <v>channel 1</v>
      </c>
    </row>
    <row r="96">
      <c r="A96" s="7"/>
      <c r="B96" s="10" t="s">
        <v>816</v>
      </c>
      <c r="C96" s="12" t="s">
        <v>384</v>
      </c>
      <c r="D96" s="10" t="s">
        <v>231</v>
      </c>
      <c r="E96" s="13" t="str">
        <f>HYPERLINK("https://youtu.be/SZbqRksmLNk?t=1895","channel 2")</f>
        <v>channel 2</v>
      </c>
    </row>
    <row r="97">
      <c r="A97" s="7"/>
      <c r="B97" s="10" t="s">
        <v>817</v>
      </c>
      <c r="C97" s="12" t="s">
        <v>307</v>
      </c>
      <c r="D97" s="10" t="s">
        <v>815</v>
      </c>
      <c r="E97" s="36" t="str">
        <f>HYPERLINK("https://youtu.be/zMxjy3bSTvM?t=2712","channel 1")</f>
        <v>channel 1</v>
      </c>
    </row>
    <row r="98">
      <c r="A98" s="7"/>
      <c r="B98" s="10" t="s">
        <v>167</v>
      </c>
      <c r="C98" s="12" t="s">
        <v>33</v>
      </c>
      <c r="D98" s="10" t="s">
        <v>231</v>
      </c>
      <c r="E98" s="13" t="str">
        <f>HYPERLINK("https://youtu.be/SZbqRksmLNk?t=2862","channel 2")</f>
        <v>channel 2</v>
      </c>
    </row>
    <row r="99">
      <c r="A99" s="7"/>
      <c r="B99" s="10" t="s">
        <v>817</v>
      </c>
      <c r="C99" s="12" t="s">
        <v>478</v>
      </c>
      <c r="D99" s="10" t="s">
        <v>816</v>
      </c>
      <c r="E99" s="36" t="str">
        <f>HYPERLINK("https://youtu.be/zMxjy3bSTvM?t=3600","channel 1")</f>
        <v>channel 1</v>
      </c>
    </row>
    <row r="100">
      <c r="A100" s="7"/>
      <c r="B100" s="10" t="s">
        <v>167</v>
      </c>
      <c r="C100" s="12" t="s">
        <v>577</v>
      </c>
      <c r="D100" s="10" t="s">
        <v>815</v>
      </c>
      <c r="E100" s="13" t="str">
        <f>HYPERLINK("https://youtu.be/SZbqRksmLNk?t=3790","channel 2")</f>
        <v>channel 2</v>
      </c>
    </row>
    <row r="101">
      <c r="A101" s="7"/>
      <c r="B101" s="10" t="s">
        <v>815</v>
      </c>
      <c r="C101" s="12" t="s">
        <v>148</v>
      </c>
      <c r="D101" s="10" t="s">
        <v>231</v>
      </c>
      <c r="E101" s="36" t="str">
        <f>HYPERLINK("https://youtu.be/zMxjy3bSTvM?t=4468","channel 1")</f>
        <v>channel 1</v>
      </c>
    </row>
    <row r="102">
      <c r="A102" s="7"/>
      <c r="B102" s="10" t="s">
        <v>167</v>
      </c>
      <c r="C102" s="12" t="s">
        <v>213</v>
      </c>
      <c r="D102" s="10" t="s">
        <v>816</v>
      </c>
      <c r="E102" s="13" t="str">
        <f>HYPERLINK("https://youtu.be/SZbqRksmLNk?t=4752","channel 2")</f>
        <v>channel 2</v>
      </c>
    </row>
    <row r="103">
      <c r="A103" s="7"/>
      <c r="B103" s="10" t="s">
        <v>231</v>
      </c>
      <c r="C103" s="12" t="s">
        <v>826</v>
      </c>
      <c r="D103" s="10" t="s">
        <v>817</v>
      </c>
      <c r="E103" s="36" t="str">
        <f>HYPERLINK("https://youtu.be/zMxjy3bSTvM?t=5375","channel 1")</f>
        <v>channel 1</v>
      </c>
    </row>
    <row r="104">
      <c r="A104" s="7"/>
      <c r="B104" s="10" t="s">
        <v>815</v>
      </c>
      <c r="C104" s="12" t="s">
        <v>827</v>
      </c>
      <c r="D104" s="10" t="s">
        <v>816</v>
      </c>
      <c r="E104" s="13" t="str">
        <f>HYPERLINK("https://youtu.be/SZbqRksmLNk?t=5649","channel 2")</f>
        <v>channel 2</v>
      </c>
    </row>
    <row r="105">
      <c r="A105" s="7"/>
      <c r="B105" s="10" t="s">
        <v>167</v>
      </c>
      <c r="C105" s="12" t="s">
        <v>553</v>
      </c>
      <c r="D105" s="10" t="s">
        <v>817</v>
      </c>
      <c r="E105" s="36" t="str">
        <f>HYPERLINK("https://youtu.be/zMxjy3bSTvM?t=6223","channel 1")</f>
        <v>channel 1</v>
      </c>
    </row>
    <row r="106">
      <c r="A106" s="7"/>
      <c r="B106" s="10" t="s">
        <v>231</v>
      </c>
      <c r="C106" s="12" t="s">
        <v>436</v>
      </c>
      <c r="D106" s="10" t="s">
        <v>816</v>
      </c>
      <c r="E106" s="13" t="str">
        <f>HYPERLINK("https://youtu.be/SZbqRksmLNk?t=6586","channel 2")</f>
        <v>channel 2</v>
      </c>
    </row>
    <row r="107">
      <c r="A107" s="7"/>
      <c r="B107" s="10" t="s">
        <v>815</v>
      </c>
      <c r="C107" s="12" t="s">
        <v>551</v>
      </c>
      <c r="D107" s="10" t="s">
        <v>817</v>
      </c>
      <c r="E107" s="36" t="str">
        <f>HYPERLINK("https://youtu.be/zMxjy3bSTvM?t=7166","channel 1")</f>
        <v>channel 1</v>
      </c>
    </row>
    <row r="108">
      <c r="A108" s="7"/>
      <c r="B108" s="10" t="s">
        <v>231</v>
      </c>
      <c r="C108" s="12" t="s">
        <v>101</v>
      </c>
      <c r="D108" s="10" t="s">
        <v>167</v>
      </c>
      <c r="E108" s="13" t="str">
        <f>HYPERLINK("https://youtu.be/SZbqRksmLNk?t=7500","channel 2")</f>
        <v>channel 2</v>
      </c>
    </row>
    <row r="109">
      <c r="A109" s="7"/>
      <c r="B109" s="10" t="s">
        <v>816</v>
      </c>
      <c r="C109" s="12" t="s">
        <v>594</v>
      </c>
      <c r="D109" s="10" t="s">
        <v>817</v>
      </c>
      <c r="E109" s="36" t="str">
        <f>HYPERLINK("https://youtu.be/zMxjy3bSTvM?t=8058","channel 1")</f>
        <v>channel 1</v>
      </c>
    </row>
    <row r="110">
      <c r="A110" s="7"/>
      <c r="B110" s="10" t="s">
        <v>815</v>
      </c>
      <c r="C110" s="12" t="s">
        <v>538</v>
      </c>
      <c r="D110" s="10" t="s">
        <v>167</v>
      </c>
      <c r="E110" s="13" t="str">
        <f>HYPERLINK("https://youtu.be/SZbqRksmLNk?t=8395","channel 2")</f>
        <v>channel 2</v>
      </c>
    </row>
    <row r="111">
      <c r="A111" s="7"/>
      <c r="B111" s="2" t="s">
        <v>648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10" t="s">
        <v>828</v>
      </c>
      <c r="C113" s="12" t="s">
        <v>32</v>
      </c>
      <c r="D113" s="10" t="s">
        <v>829</v>
      </c>
      <c r="E113" s="36" t="str">
        <f>HYPERLINK("https://youtu.be/5lC43L5T_4g","channel 1")</f>
        <v>channel 1</v>
      </c>
    </row>
    <row r="114">
      <c r="A114" s="7"/>
      <c r="B114" s="10" t="s">
        <v>831</v>
      </c>
      <c r="C114" s="12" t="s">
        <v>392</v>
      </c>
      <c r="D114" s="28" t="s">
        <v>833</v>
      </c>
      <c r="E114" s="13" t="str">
        <f>HYPERLINK("https://youtu.be/innpaOOxegY","channel 2")</f>
        <v>channel 2</v>
      </c>
    </row>
    <row r="115">
      <c r="A115" s="7"/>
      <c r="B115" s="10" t="s">
        <v>834</v>
      </c>
      <c r="C115" s="12" t="s">
        <v>10</v>
      </c>
      <c r="D115" s="10" t="s">
        <v>828</v>
      </c>
      <c r="E115" s="36" t="str">
        <f>HYPERLINK("https://youtu.be/5lC43L5T_4g?t=879","channel 1")</f>
        <v>channel 1</v>
      </c>
    </row>
    <row r="116">
      <c r="A116" s="7"/>
      <c r="B116" s="10" t="s">
        <v>831</v>
      </c>
      <c r="C116" s="12" t="s">
        <v>103</v>
      </c>
      <c r="D116" s="10" t="s">
        <v>829</v>
      </c>
      <c r="E116" s="13" t="str">
        <f>HYPERLINK("https://youtu.be/innpaOOxegY?t=1009","channel 2")</f>
        <v>channel 2</v>
      </c>
    </row>
    <row r="117">
      <c r="A117" s="7"/>
      <c r="B117" s="10" t="s">
        <v>834</v>
      </c>
      <c r="C117" s="12" t="s">
        <v>82</v>
      </c>
      <c r="D117" s="28" t="s">
        <v>833</v>
      </c>
      <c r="E117" s="36" t="str">
        <f>HYPERLINK("https://youtu.be/5lC43L5T_4g?t=1733","channel 1")</f>
        <v>channel 1</v>
      </c>
    </row>
    <row r="118">
      <c r="A118" s="7"/>
      <c r="B118" s="10" t="s">
        <v>831</v>
      </c>
      <c r="C118" s="12" t="s">
        <v>59</v>
      </c>
      <c r="D118" s="10" t="s">
        <v>828</v>
      </c>
      <c r="E118" s="13" t="str">
        <f>HYPERLINK("https://youtu.be/innpaOOxegY?t=1910","channel 2")</f>
        <v>channel 2</v>
      </c>
    </row>
    <row r="119">
      <c r="A119" s="7"/>
      <c r="B119" s="10" t="s">
        <v>834</v>
      </c>
      <c r="C119" s="12" t="s">
        <v>594</v>
      </c>
      <c r="D119" s="10" t="s">
        <v>829</v>
      </c>
      <c r="E119" s="36" t="str">
        <f>HYPERLINK("https://youtu.be/5lC43L5T_4g?t=2682","channel 1")</f>
        <v>channel 1</v>
      </c>
    </row>
    <row r="120">
      <c r="A120" s="7"/>
      <c r="B120" s="28" t="s">
        <v>833</v>
      </c>
      <c r="C120" s="12" t="s">
        <v>826</v>
      </c>
      <c r="D120" s="10" t="s">
        <v>828</v>
      </c>
      <c r="E120" s="13" t="str">
        <f>HYPERLINK("https://youtu.be/innpaOOxegY?t=2748","channel 2")</f>
        <v>channel 2</v>
      </c>
    </row>
    <row r="121">
      <c r="A121" s="7"/>
      <c r="B121" s="10" t="s">
        <v>834</v>
      </c>
      <c r="C121" s="12" t="s">
        <v>24</v>
      </c>
      <c r="D121" s="10" t="s">
        <v>831</v>
      </c>
      <c r="E121" s="36" t="str">
        <f>HYPERLINK("https://youtu.be/5lC43L5T_4g?t=3531","channel 1")</f>
        <v>channel 1</v>
      </c>
    </row>
    <row r="122">
      <c r="A122" s="7"/>
      <c r="B122" s="28" t="s">
        <v>833</v>
      </c>
      <c r="C122" s="12" t="s">
        <v>462</v>
      </c>
      <c r="D122" s="10" t="s">
        <v>829</v>
      </c>
      <c r="E122" s="13" t="str">
        <f>HYPERLINK("https://youtu.be/innpaOOxegY?t=3629","channel 2")</f>
        <v>channel 2</v>
      </c>
    </row>
    <row r="123">
      <c r="A123" s="7"/>
      <c r="B123" s="10" t="s">
        <v>829</v>
      </c>
      <c r="C123" s="12" t="s">
        <v>40</v>
      </c>
      <c r="D123" s="10" t="s">
        <v>828</v>
      </c>
      <c r="E123" s="36" t="str">
        <f>HYPERLINK("https://youtu.be/5lC43L5T_4g?t=4385","channel 1")</f>
        <v>channel 1</v>
      </c>
    </row>
    <row r="124">
      <c r="A124" s="7"/>
      <c r="B124" s="28" t="s">
        <v>833</v>
      </c>
      <c r="C124" s="12" t="s">
        <v>10</v>
      </c>
      <c r="D124" s="10" t="s">
        <v>831</v>
      </c>
      <c r="E124" s="13" t="str">
        <f>HYPERLINK("https://youtu.be/innpaOOxegY?t=4431","channel 2")</f>
        <v>channel 2</v>
      </c>
    </row>
    <row r="125">
      <c r="A125" s="7"/>
      <c r="B125" s="10" t="s">
        <v>828</v>
      </c>
      <c r="C125" s="12" t="s">
        <v>108</v>
      </c>
      <c r="D125" s="10" t="s">
        <v>834</v>
      </c>
      <c r="E125" s="36" t="str">
        <f>HYPERLINK("https://youtu.be/5lC43L5T_4g?t=5274","channel 1")</f>
        <v>channel 1</v>
      </c>
    </row>
    <row r="126">
      <c r="A126" s="7"/>
      <c r="B126" s="10" t="s">
        <v>829</v>
      </c>
      <c r="C126" s="12" t="s">
        <v>225</v>
      </c>
      <c r="D126" s="10" t="s">
        <v>831</v>
      </c>
      <c r="E126" s="13" t="str">
        <f>HYPERLINK("https://youtu.be/innpaOOxegY?t=5282","channel 2")</f>
        <v>channel 2</v>
      </c>
    </row>
    <row r="127">
      <c r="A127" s="7"/>
      <c r="B127" s="28" t="s">
        <v>833</v>
      </c>
      <c r="C127" s="12" t="s">
        <v>34</v>
      </c>
      <c r="D127" s="10" t="s">
        <v>834</v>
      </c>
      <c r="E127" s="36" t="str">
        <f>HYPERLINK("https://youtu.be/5lC43L5T_4g?t=6108","channel 1")</f>
        <v>channel 1</v>
      </c>
    </row>
    <row r="128">
      <c r="A128" s="7"/>
      <c r="B128" s="10" t="s">
        <v>828</v>
      </c>
      <c r="C128" s="12" t="s">
        <v>32</v>
      </c>
      <c r="D128" s="10" t="s">
        <v>831</v>
      </c>
      <c r="E128" s="13" t="str">
        <f>HYPERLINK("https://youtu.be/innpaOOxegY?t=6150","channel 2")</f>
        <v>channel 2</v>
      </c>
    </row>
    <row r="129">
      <c r="A129" s="7"/>
      <c r="B129" s="10" t="s">
        <v>829</v>
      </c>
      <c r="C129" s="12" t="s">
        <v>232</v>
      </c>
      <c r="D129" s="10" t="s">
        <v>834</v>
      </c>
      <c r="E129" s="36" t="str">
        <f>HYPERLINK("https://youtu.be/5lC43L5T_4g?t=7072","channel 1")</f>
        <v>channel 1</v>
      </c>
    </row>
    <row r="130">
      <c r="A130" s="7"/>
      <c r="B130" s="10" t="s">
        <v>828</v>
      </c>
      <c r="C130" s="12" t="s">
        <v>30</v>
      </c>
      <c r="D130" s="28" t="s">
        <v>833</v>
      </c>
      <c r="E130" s="13" t="str">
        <f>HYPERLINK("https://youtu.be/innpaOOxegY?t=6972","channel 2")</f>
        <v>channel 2</v>
      </c>
    </row>
    <row r="131">
      <c r="A131" s="7"/>
      <c r="B131" s="10" t="s">
        <v>831</v>
      </c>
      <c r="C131" s="12" t="s">
        <v>296</v>
      </c>
      <c r="D131" s="10" t="s">
        <v>834</v>
      </c>
      <c r="E131" s="36" t="str">
        <f>HYPERLINK("https://youtu.be/5lC43L5T_4g?t=7921","channel 1")</f>
        <v>channel 1</v>
      </c>
    </row>
    <row r="132">
      <c r="A132" s="25"/>
      <c r="B132" s="10" t="s">
        <v>829</v>
      </c>
      <c r="C132" s="12" t="s">
        <v>631</v>
      </c>
      <c r="D132" s="28" t="s">
        <v>833</v>
      </c>
      <c r="E132" s="13" t="str">
        <f>HYPERLINK("https://youtu.be/innpaOOxegY?t=7852","channel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789</v>
      </c>
      <c r="C3" s="12" t="s">
        <v>82</v>
      </c>
      <c r="D3" s="10" t="s">
        <v>790</v>
      </c>
      <c r="E3" s="36" t="str">
        <f>HYPERLINK("https://youtu.be/x0gGe_ww3A0","channel 1")</f>
        <v>channel 1</v>
      </c>
    </row>
    <row r="4">
      <c r="A4" s="7"/>
      <c r="B4" s="10" t="s">
        <v>795</v>
      </c>
      <c r="C4" s="37" t="s">
        <v>322</v>
      </c>
      <c r="D4" s="10" t="s">
        <v>797</v>
      </c>
      <c r="E4" s="13" t="str">
        <f>HYPERLINK("https://youtu.be/dry6x3RHFhg","channel 2")</f>
        <v>channel 2</v>
      </c>
    </row>
    <row r="5">
      <c r="A5" s="7"/>
      <c r="B5" s="10" t="s">
        <v>23</v>
      </c>
      <c r="C5" s="12" t="s">
        <v>104</v>
      </c>
      <c r="D5" s="10" t="s">
        <v>789</v>
      </c>
      <c r="E5" s="36" t="str">
        <f>HYPERLINK("https://youtu.be/x0gGe_ww3A0?t=810","channel 1")</f>
        <v>channel 1</v>
      </c>
    </row>
    <row r="6">
      <c r="A6" s="7"/>
      <c r="B6" s="10" t="s">
        <v>795</v>
      </c>
      <c r="C6" s="12" t="s">
        <v>281</v>
      </c>
      <c r="D6" s="10" t="s">
        <v>790</v>
      </c>
      <c r="E6" s="13" t="str">
        <f>HYPERLINK("https://youtu.be/dry6x3RHFhg?t=1026","channel 2")</f>
        <v>channel 2</v>
      </c>
    </row>
    <row r="7">
      <c r="A7" s="7"/>
      <c r="B7" s="10" t="s">
        <v>23</v>
      </c>
      <c r="C7" s="12" t="s">
        <v>32</v>
      </c>
      <c r="D7" s="10" t="s">
        <v>797</v>
      </c>
      <c r="E7" s="36" t="str">
        <f>HYPERLINK("https://youtu.be/x0gGe_ww3A0?t=1693","channel 1")</f>
        <v>channel 1</v>
      </c>
    </row>
    <row r="8">
      <c r="A8" s="7"/>
      <c r="B8" s="10" t="s">
        <v>795</v>
      </c>
      <c r="C8" s="12" t="s">
        <v>38</v>
      </c>
      <c r="D8" s="10" t="s">
        <v>789</v>
      </c>
      <c r="E8" s="13" t="str">
        <f>HYPERLINK("https://youtu.be/dry6x3RHFhg?t=1923","channel 2")</f>
        <v>channel 2</v>
      </c>
    </row>
    <row r="9">
      <c r="A9" s="7"/>
      <c r="B9" s="10" t="s">
        <v>23</v>
      </c>
      <c r="C9" s="12" t="s">
        <v>104</v>
      </c>
      <c r="D9" s="10" t="s">
        <v>790</v>
      </c>
      <c r="E9" s="36" t="str">
        <f>HYPERLINK("https://youtu.be/x0gGe_ww3A0?t=2568","channel 1")</f>
        <v>channel 1</v>
      </c>
    </row>
    <row r="10">
      <c r="A10" s="7"/>
      <c r="B10" s="10" t="s">
        <v>797</v>
      </c>
      <c r="C10" s="12" t="s">
        <v>89</v>
      </c>
      <c r="D10" s="10" t="s">
        <v>789</v>
      </c>
      <c r="E10" s="13" t="str">
        <f>HYPERLINK("https://youtu.be/dry6x3RHFhg?t=2891","channel 2")</f>
        <v>channel 2</v>
      </c>
    </row>
    <row r="11">
      <c r="A11" s="7"/>
      <c r="B11" s="10" t="s">
        <v>23</v>
      </c>
      <c r="C11" s="12" t="s">
        <v>97</v>
      </c>
      <c r="D11" s="10" t="s">
        <v>795</v>
      </c>
      <c r="E11" s="36" t="str">
        <f>HYPERLINK("https://youtu.be/x0gGe_ww3A0?t=3566","channel 1")</f>
        <v>channel 1</v>
      </c>
    </row>
    <row r="12">
      <c r="A12" s="7"/>
      <c r="B12" s="10" t="s">
        <v>797</v>
      </c>
      <c r="C12" s="12" t="s">
        <v>801</v>
      </c>
      <c r="D12" s="10" t="s">
        <v>790</v>
      </c>
      <c r="E12" s="13" t="str">
        <f>HYPERLINK("https://youtu.be/dry6x3RHFhg?t=3788","channel 2")</f>
        <v>channel 2</v>
      </c>
    </row>
    <row r="13">
      <c r="A13" s="7"/>
      <c r="B13" s="10" t="s">
        <v>790</v>
      </c>
      <c r="C13" s="12" t="s">
        <v>144</v>
      </c>
      <c r="D13" s="10" t="s">
        <v>789</v>
      </c>
      <c r="E13" s="36" t="str">
        <f>HYPERLINK("https://youtu.be/x0gGe_ww3A0?t=4556","channel 1")</f>
        <v>channel 1</v>
      </c>
    </row>
    <row r="14">
      <c r="A14" s="7"/>
      <c r="B14" s="10" t="s">
        <v>797</v>
      </c>
      <c r="C14" s="12" t="s">
        <v>145</v>
      </c>
      <c r="D14" s="10" t="s">
        <v>795</v>
      </c>
      <c r="E14" s="13" t="str">
        <f>HYPERLINK("https://youtu.be/dry6x3RHFhg?t=4680","channel 2")</f>
        <v>channel 2</v>
      </c>
    </row>
    <row r="15">
      <c r="A15" s="7"/>
      <c r="B15" s="10" t="s">
        <v>789</v>
      </c>
      <c r="C15" s="12" t="s">
        <v>212</v>
      </c>
      <c r="D15" s="10" t="s">
        <v>23</v>
      </c>
      <c r="E15" s="36" t="str">
        <f>HYPERLINK("https://youtu.be/x0gGe_ww3A0?t=5324","channel 1")</f>
        <v>channel 1</v>
      </c>
    </row>
    <row r="16">
      <c r="A16" s="7"/>
      <c r="B16" s="10" t="s">
        <v>790</v>
      </c>
      <c r="C16" s="12" t="s">
        <v>132</v>
      </c>
      <c r="D16" s="10" t="s">
        <v>795</v>
      </c>
      <c r="E16" s="13" t="str">
        <f>HYPERLINK("https://youtu.be/dry6x3RHFhg?t=5551","channel 2")</f>
        <v>channel 2</v>
      </c>
    </row>
    <row r="17">
      <c r="A17" s="7"/>
      <c r="B17" s="10" t="s">
        <v>797</v>
      </c>
      <c r="C17" s="12" t="s">
        <v>143</v>
      </c>
      <c r="D17" s="10" t="s">
        <v>23</v>
      </c>
      <c r="E17" s="36" t="str">
        <f>HYPERLINK("https://youtu.be/x0gGe_ww3A0?t=6206","channel 1")</f>
        <v>channel 1</v>
      </c>
    </row>
    <row r="18">
      <c r="A18" s="7"/>
      <c r="B18" s="10" t="s">
        <v>789</v>
      </c>
      <c r="C18" s="12" t="s">
        <v>99</v>
      </c>
      <c r="D18" s="10" t="s">
        <v>795</v>
      </c>
      <c r="E18" s="13" t="str">
        <f>HYPERLINK("https://youtu.be/dry6x3RHFhg?t=6440","channel 2")</f>
        <v>channel 2</v>
      </c>
    </row>
    <row r="19">
      <c r="A19" s="7"/>
      <c r="B19" s="10" t="s">
        <v>790</v>
      </c>
      <c r="C19" s="12" t="s">
        <v>759</v>
      </c>
      <c r="D19" s="10" t="s">
        <v>23</v>
      </c>
      <c r="E19" s="36" t="str">
        <f>HYPERLINK("https://youtu.be/x0gGe_ww3A0?t=7225","channel 1")</f>
        <v>channel 1</v>
      </c>
    </row>
    <row r="20">
      <c r="A20" s="7"/>
      <c r="B20" s="10" t="s">
        <v>789</v>
      </c>
      <c r="C20" s="12" t="s">
        <v>10</v>
      </c>
      <c r="D20" s="10" t="s">
        <v>797</v>
      </c>
      <c r="E20" s="13" t="str">
        <f>HYPERLINK("https://youtu.be/dry6x3RHFhg?t=7455","channel 2")</f>
        <v>channel 2</v>
      </c>
    </row>
    <row r="21">
      <c r="A21" s="7"/>
      <c r="B21" s="10" t="s">
        <v>795</v>
      </c>
      <c r="C21" s="12" t="s">
        <v>213</v>
      </c>
      <c r="D21" s="10" t="s">
        <v>23</v>
      </c>
      <c r="E21" s="36" t="str">
        <f>HYPERLINK("https://youtu.be/x0gGe_ww3A0?t=8093","channel 1")</f>
        <v>channel 1</v>
      </c>
    </row>
    <row r="22">
      <c r="A22" s="7"/>
      <c r="B22" s="10" t="s">
        <v>790</v>
      </c>
      <c r="C22" s="12" t="s">
        <v>611</v>
      </c>
      <c r="D22" s="10" t="s">
        <v>797</v>
      </c>
      <c r="E22" s="13" t="str">
        <f>HYPERLINK("https://youtu.be/dry6x3RHFhg?t=8368","channel 2")</f>
        <v>channel 2</v>
      </c>
    </row>
    <row r="23">
      <c r="A23" s="7"/>
      <c r="B23" s="2" t="s">
        <v>41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807</v>
      </c>
      <c r="C25" s="12" t="s">
        <v>108</v>
      </c>
      <c r="D25" s="10" t="s">
        <v>808</v>
      </c>
      <c r="E25" s="36" t="str">
        <f>HYPERLINK("https://youtu.be/loNLGOFb2zc","channel 1")</f>
        <v>channel 1</v>
      </c>
    </row>
    <row r="26">
      <c r="A26" s="7"/>
      <c r="B26" s="10" t="s">
        <v>811</v>
      </c>
      <c r="C26" s="12" t="s">
        <v>49</v>
      </c>
      <c r="D26" s="10" t="s">
        <v>81</v>
      </c>
      <c r="E26" s="13" t="str">
        <f>HYPERLINK("https://youtu.be/6CZiq9i1L_I?t=137","channel 2")</f>
        <v>channel 2</v>
      </c>
    </row>
    <row r="27">
      <c r="A27" s="7"/>
      <c r="B27" s="10" t="s">
        <v>605</v>
      </c>
      <c r="C27" s="12" t="s">
        <v>85</v>
      </c>
      <c r="D27" s="10" t="s">
        <v>807</v>
      </c>
      <c r="E27" s="36" t="str">
        <f>HYPERLINK("https://youtu.be/loNLGOFb2zc?t=794","channel 1")</f>
        <v>channel 1</v>
      </c>
    </row>
    <row r="28">
      <c r="A28" s="7"/>
      <c r="B28" s="10" t="s">
        <v>811</v>
      </c>
      <c r="C28" s="12" t="s">
        <v>277</v>
      </c>
      <c r="D28" s="10" t="s">
        <v>808</v>
      </c>
      <c r="E28" s="13" t="str">
        <f>HYPERLINK("https://youtu.be/6CZiq9i1L_I?t=1091","channel 2")</f>
        <v>channel 2</v>
      </c>
    </row>
    <row r="29">
      <c r="A29" s="7"/>
      <c r="B29" s="10" t="s">
        <v>605</v>
      </c>
      <c r="C29" s="12" t="s">
        <v>304</v>
      </c>
      <c r="D29" s="10" t="s">
        <v>81</v>
      </c>
      <c r="E29" s="36" t="str">
        <f>HYPERLINK("https://youtu.be/loNLGOFb2zc?t=1743","channel 1")</f>
        <v>channel 1</v>
      </c>
    </row>
    <row r="30">
      <c r="A30" s="7"/>
      <c r="B30" s="10" t="s">
        <v>811</v>
      </c>
      <c r="C30" s="12" t="s">
        <v>124</v>
      </c>
      <c r="D30" s="10" t="s">
        <v>807</v>
      </c>
      <c r="E30" s="13" t="str">
        <f>HYPERLINK("https://youtu.be/6CZiq9i1L_I?t=2012","channel 2")</f>
        <v>channel 2</v>
      </c>
    </row>
    <row r="31">
      <c r="A31" s="7"/>
      <c r="B31" s="10" t="s">
        <v>605</v>
      </c>
      <c r="C31" s="12" t="s">
        <v>338</v>
      </c>
      <c r="D31" s="10" t="s">
        <v>808</v>
      </c>
      <c r="E31" s="36" t="str">
        <f>HYPERLINK("https://youtu.be/loNLGOFb2zc?t=2619","channel 1")</f>
        <v>channel 1</v>
      </c>
    </row>
    <row r="32">
      <c r="A32" s="7"/>
      <c r="B32" s="10" t="s">
        <v>81</v>
      </c>
      <c r="C32" s="12" t="s">
        <v>117</v>
      </c>
      <c r="D32" s="10" t="s">
        <v>807</v>
      </c>
      <c r="E32" s="13" t="str">
        <f>HYPERLINK("https://youtu.be/6CZiq9i1L_I?t=2980","channel 2")</f>
        <v>channel 2</v>
      </c>
    </row>
    <row r="33">
      <c r="A33" s="7"/>
      <c r="B33" s="10" t="s">
        <v>605</v>
      </c>
      <c r="C33" s="12" t="s">
        <v>42</v>
      </c>
      <c r="D33" s="10" t="s">
        <v>811</v>
      </c>
      <c r="E33" s="36" t="str">
        <f>HYPERLINK("https://youtu.be/loNLGOFb2zc?t=3509","channel 1")</f>
        <v>channel 1</v>
      </c>
    </row>
    <row r="34">
      <c r="A34" s="7"/>
      <c r="B34" s="10" t="s">
        <v>81</v>
      </c>
      <c r="C34" s="12" t="s">
        <v>124</v>
      </c>
      <c r="D34" s="10" t="s">
        <v>808</v>
      </c>
      <c r="E34" s="13" t="str">
        <f>HYPERLINK("https://youtu.be/6CZiq9i1L_I?t=3918","channel 2")</f>
        <v>channel 2</v>
      </c>
    </row>
    <row r="35">
      <c r="A35" s="7"/>
      <c r="B35" s="10" t="s">
        <v>808</v>
      </c>
      <c r="C35" s="12" t="s">
        <v>27</v>
      </c>
      <c r="D35" s="10" t="s">
        <v>807</v>
      </c>
      <c r="E35" s="36" t="str">
        <f>HYPERLINK("https://youtu.be/loNLGOFb2zc?t=4495","channel 1")</f>
        <v>channel 1</v>
      </c>
    </row>
    <row r="36">
      <c r="A36" s="7"/>
      <c r="B36" s="10" t="s">
        <v>81</v>
      </c>
      <c r="C36" s="12" t="s">
        <v>477</v>
      </c>
      <c r="D36" s="10" t="s">
        <v>811</v>
      </c>
      <c r="E36" s="13" t="str">
        <f>HYPERLINK("https://youtu.be/6CZiq9i1L_I?t=4802","channel 2")</f>
        <v>channel 2</v>
      </c>
    </row>
    <row r="37">
      <c r="A37" s="7"/>
      <c r="B37" s="10" t="s">
        <v>807</v>
      </c>
      <c r="C37" s="12" t="s">
        <v>477</v>
      </c>
      <c r="D37" s="10" t="s">
        <v>605</v>
      </c>
      <c r="E37" s="36" t="str">
        <f>HYPERLINK("https://youtu.be/loNLGOFb2zc?t=5459","channel 1")</f>
        <v>channel 1</v>
      </c>
    </row>
    <row r="38">
      <c r="A38" s="7"/>
      <c r="B38" s="10" t="s">
        <v>808</v>
      </c>
      <c r="C38" s="12" t="s">
        <v>11</v>
      </c>
      <c r="D38" s="10" t="s">
        <v>811</v>
      </c>
      <c r="E38" s="13" t="str">
        <f>HYPERLINK("https://youtu.be/6CZiq9i1L_I?t=5698","channel 2")</f>
        <v>channel 2</v>
      </c>
    </row>
    <row r="39">
      <c r="A39" s="7"/>
      <c r="B39" s="10" t="s">
        <v>81</v>
      </c>
      <c r="C39" s="18" t="s">
        <v>148</v>
      </c>
      <c r="D39" s="10" t="s">
        <v>605</v>
      </c>
      <c r="E39" s="36" t="str">
        <f>HYPERLINK("https://youtu.be/loNLGOFb2zc?t=6430","channel 1")</f>
        <v>channel 1</v>
      </c>
    </row>
    <row r="40">
      <c r="A40" s="7"/>
      <c r="B40" s="10" t="s">
        <v>807</v>
      </c>
      <c r="C40" s="12" t="s">
        <v>141</v>
      </c>
      <c r="D40" s="10" t="s">
        <v>811</v>
      </c>
      <c r="E40" s="13" t="str">
        <f>HYPERLINK("https://youtu.be/6CZiq9i1L_I?t=6685","channel 2")</f>
        <v>channel 2</v>
      </c>
    </row>
    <row r="41">
      <c r="A41" s="7"/>
      <c r="B41" s="10" t="s">
        <v>808</v>
      </c>
      <c r="C41" s="12" t="s">
        <v>555</v>
      </c>
      <c r="D41" s="10" t="s">
        <v>605</v>
      </c>
      <c r="E41" s="36" t="str">
        <f>HYPERLINK("https://youtu.be/loNLGOFb2zc?t=7431","channel 1")</f>
        <v>channel 1</v>
      </c>
    </row>
    <row r="42">
      <c r="A42" s="7"/>
      <c r="B42" s="10" t="s">
        <v>807</v>
      </c>
      <c r="C42" s="12" t="s">
        <v>109</v>
      </c>
      <c r="D42" s="10" t="s">
        <v>81</v>
      </c>
      <c r="E42" s="13" t="str">
        <f>HYPERLINK("https://youtu.be/6CZiq9i1L_I?t=7786","channel 2")</f>
        <v>channel 2</v>
      </c>
    </row>
    <row r="43">
      <c r="A43" s="7"/>
      <c r="B43" s="10" t="s">
        <v>811</v>
      </c>
      <c r="C43" s="12" t="s">
        <v>821</v>
      </c>
      <c r="D43" s="10" t="s">
        <v>605</v>
      </c>
      <c r="E43" s="36" t="str">
        <f>HYPERLINK("https://youtu.be/loNLGOFb2zc?t=8424","channel 1")</f>
        <v>channel 1</v>
      </c>
    </row>
    <row r="44">
      <c r="A44" s="7"/>
      <c r="B44" s="10" t="s">
        <v>808</v>
      </c>
      <c r="C44" s="12" t="s">
        <v>239</v>
      </c>
      <c r="D44" s="10" t="s">
        <v>81</v>
      </c>
      <c r="E44" s="13" t="str">
        <f>HYPERLINK("https://youtu.be/6CZiq9i1L_I?t=8741","channel 2")</f>
        <v>channel 2</v>
      </c>
    </row>
    <row r="45">
      <c r="A45" s="7"/>
      <c r="B45" s="2" t="s">
        <v>112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582</v>
      </c>
      <c r="C47" s="12" t="s">
        <v>99</v>
      </c>
      <c r="D47" s="10" t="s">
        <v>129</v>
      </c>
      <c r="E47" s="36" t="str">
        <f>HYPERLINK("https://youtu.be/QLuxo92SY5k","channel 1")</f>
        <v>channel 1</v>
      </c>
    </row>
    <row r="48">
      <c r="A48" s="7"/>
      <c r="B48" s="10" t="s">
        <v>824</v>
      </c>
      <c r="C48" s="12" t="s">
        <v>97</v>
      </c>
      <c r="D48" s="10" t="s">
        <v>696</v>
      </c>
      <c r="E48" s="13" t="str">
        <f>HYPERLINK("https://youtu.be/5woCOibJOLI","channel 2")</f>
        <v>channel 2</v>
      </c>
    </row>
    <row r="49">
      <c r="A49" s="7"/>
      <c r="B49" s="10" t="s">
        <v>825</v>
      </c>
      <c r="C49" s="12" t="s">
        <v>101</v>
      </c>
      <c r="D49" s="10" t="s">
        <v>582</v>
      </c>
      <c r="E49" s="36" t="str">
        <f>HYPERLINK("https://youtu.be/QLuxo92SY5k?t=997","channel 1")</f>
        <v>channel 1</v>
      </c>
    </row>
    <row r="50">
      <c r="A50" s="7"/>
      <c r="B50" s="10" t="s">
        <v>824</v>
      </c>
      <c r="C50" s="12" t="s">
        <v>47</v>
      </c>
      <c r="D50" s="10" t="s">
        <v>129</v>
      </c>
      <c r="E50" s="13" t="str">
        <f>HYPERLINK("https://youtu.be/5woCOibJOLI?t=964","channel 2")</f>
        <v>channel 2</v>
      </c>
    </row>
    <row r="51">
      <c r="A51" s="7"/>
      <c r="B51" s="10" t="s">
        <v>825</v>
      </c>
      <c r="C51" s="12" t="s">
        <v>358</v>
      </c>
      <c r="D51" s="10" t="s">
        <v>696</v>
      </c>
      <c r="E51" s="36" t="str">
        <f>HYPERLINK("https://youtu.be/QLuxo92SY5k?t=1937","channel 1")</f>
        <v>channel 1</v>
      </c>
    </row>
    <row r="52">
      <c r="A52" s="7"/>
      <c r="B52" s="10" t="s">
        <v>824</v>
      </c>
      <c r="C52" s="12" t="s">
        <v>135</v>
      </c>
      <c r="D52" s="10" t="s">
        <v>582</v>
      </c>
      <c r="E52" s="13" t="str">
        <f>HYPERLINK("https://youtu.be/5woCOibJOLI?t=1902","channel 2")</f>
        <v>channel 2</v>
      </c>
    </row>
    <row r="53">
      <c r="A53" s="7"/>
      <c r="B53" s="10" t="s">
        <v>825</v>
      </c>
      <c r="C53" s="12" t="s">
        <v>10</v>
      </c>
      <c r="D53" s="10" t="s">
        <v>129</v>
      </c>
      <c r="E53" s="36" t="str">
        <f>HYPERLINK("https://youtu.be/QLuxo92SY5k?t=2927","channel 1")</f>
        <v>channel 1</v>
      </c>
    </row>
    <row r="54">
      <c r="A54" s="7"/>
      <c r="B54" s="10" t="s">
        <v>696</v>
      </c>
      <c r="C54" s="12" t="s">
        <v>311</v>
      </c>
      <c r="D54" s="10" t="s">
        <v>582</v>
      </c>
      <c r="E54" s="13" t="str">
        <f>HYPERLINK("https://youtu.be/5woCOibJOLI?t=2953","channel 2")</f>
        <v>channel 2</v>
      </c>
    </row>
    <row r="55">
      <c r="A55" s="7"/>
      <c r="B55" s="10" t="s">
        <v>825</v>
      </c>
      <c r="C55" s="12" t="s">
        <v>35</v>
      </c>
      <c r="D55" s="10" t="s">
        <v>824</v>
      </c>
      <c r="E55" s="36" t="str">
        <f>HYPERLINK("https://youtu.be/QLuxo92SY5k?t=3802","channel 1")</f>
        <v>channel 1</v>
      </c>
    </row>
    <row r="56">
      <c r="A56" s="7"/>
      <c r="B56" s="10" t="s">
        <v>696</v>
      </c>
      <c r="C56" s="12" t="s">
        <v>309</v>
      </c>
      <c r="D56" s="10" t="s">
        <v>129</v>
      </c>
      <c r="E56" s="13" t="str">
        <f>HYPERLINK("https://youtu.be/5woCOibJOLI?t=3981","channel 2")</f>
        <v>channel 2</v>
      </c>
    </row>
    <row r="57">
      <c r="A57" s="7"/>
      <c r="B57" s="10" t="s">
        <v>129</v>
      </c>
      <c r="C57" s="12" t="s">
        <v>436</v>
      </c>
      <c r="D57" s="10" t="s">
        <v>582</v>
      </c>
      <c r="E57" s="36" t="str">
        <f>HYPERLINK("https://youtu.be/QLuxo92SY5k?t=4843","channel 1")</f>
        <v>channel 1</v>
      </c>
    </row>
    <row r="58">
      <c r="A58" s="7"/>
      <c r="B58" s="10" t="s">
        <v>696</v>
      </c>
      <c r="C58" s="12" t="s">
        <v>193</v>
      </c>
      <c r="D58" s="10" t="s">
        <v>824</v>
      </c>
      <c r="E58" s="13" t="str">
        <f>HYPERLINK("https://youtu.be/5woCOibJOLI?t=4881","channel 2")</f>
        <v>channel 2</v>
      </c>
    </row>
    <row r="59">
      <c r="A59" s="7"/>
      <c r="B59" s="10" t="s">
        <v>582</v>
      </c>
      <c r="C59" s="12" t="s">
        <v>343</v>
      </c>
      <c r="D59" s="10" t="s">
        <v>825</v>
      </c>
      <c r="E59" s="36" t="str">
        <f>HYPERLINK("https://youtu.be/QLuxo92SY5k?t=5805","channel 1")</f>
        <v>channel 1</v>
      </c>
    </row>
    <row r="60">
      <c r="A60" s="7"/>
      <c r="B60" s="10" t="s">
        <v>129</v>
      </c>
      <c r="C60" s="12" t="s">
        <v>675</v>
      </c>
      <c r="D60" s="10" t="s">
        <v>824</v>
      </c>
      <c r="E60" s="13" t="str">
        <f>HYPERLINK("https://youtu.be/5woCOibJOLI?t=5842","channel 2")</f>
        <v>channel 2</v>
      </c>
    </row>
    <row r="61">
      <c r="A61" s="7"/>
      <c r="B61" s="10" t="s">
        <v>696</v>
      </c>
      <c r="C61" s="12" t="s">
        <v>276</v>
      </c>
      <c r="D61" s="10" t="s">
        <v>825</v>
      </c>
      <c r="E61" s="36" t="str">
        <f>HYPERLINK("https://youtu.be/QLuxo92SY5k?t=6757","channel 1")</f>
        <v>channel 1</v>
      </c>
    </row>
    <row r="62">
      <c r="A62" s="7"/>
      <c r="B62" s="10" t="s">
        <v>582</v>
      </c>
      <c r="C62" s="18" t="s">
        <v>141</v>
      </c>
      <c r="D62" s="10" t="s">
        <v>824</v>
      </c>
      <c r="E62" s="13" t="str">
        <f>HYPERLINK("https://youtu.be/5woCOibJOLI?t=6855","channel 2")</f>
        <v>channel 2</v>
      </c>
    </row>
    <row r="63">
      <c r="A63" s="7"/>
      <c r="B63" s="10" t="s">
        <v>129</v>
      </c>
      <c r="C63" s="12" t="s">
        <v>339</v>
      </c>
      <c r="D63" s="10" t="s">
        <v>825</v>
      </c>
      <c r="E63" s="36" t="str">
        <f>HYPERLINK("https://youtu.be/QLuxo92SY5k?t=7786","channel 1")</f>
        <v>channel 1</v>
      </c>
    </row>
    <row r="64">
      <c r="A64" s="7"/>
      <c r="B64" s="10" t="s">
        <v>582</v>
      </c>
      <c r="C64" s="12" t="s">
        <v>144</v>
      </c>
      <c r="D64" s="10" t="s">
        <v>696</v>
      </c>
      <c r="E64" s="13" t="str">
        <f>HYPERLINK("https://youtu.be/5woCOibJOLI?t=7823","channel 2")</f>
        <v>channel 2</v>
      </c>
    </row>
    <row r="65">
      <c r="A65" s="7"/>
      <c r="B65" s="10" t="s">
        <v>824</v>
      </c>
      <c r="C65" s="12" t="s">
        <v>143</v>
      </c>
      <c r="D65" s="10" t="s">
        <v>825</v>
      </c>
      <c r="E65" s="36" t="str">
        <f>HYPERLINK("https://youtu.be/QLuxo92SY5k?t=8730","channel 1")</f>
        <v>channel 1</v>
      </c>
    </row>
    <row r="66">
      <c r="A66" s="7"/>
      <c r="B66" s="10" t="s">
        <v>129</v>
      </c>
      <c r="C66" s="12" t="s">
        <v>89</v>
      </c>
      <c r="D66" s="10" t="s">
        <v>696</v>
      </c>
      <c r="E66" s="13" t="str">
        <f>HYPERLINK("https://youtu.be/5woCOibJOLI?t=8708","channel 2")</f>
        <v>channel 2</v>
      </c>
    </row>
    <row r="67">
      <c r="A67" s="7"/>
      <c r="B67" s="4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840</v>
      </c>
      <c r="C69" s="12" t="s">
        <v>103</v>
      </c>
      <c r="D69" s="10" t="s">
        <v>842</v>
      </c>
      <c r="E69" s="36" t="str">
        <f>HYPERLINK("https://youtu.be/qjt7_FGehBM","channel 1")</f>
        <v>channel 1</v>
      </c>
    </row>
    <row r="70">
      <c r="A70" s="7"/>
      <c r="B70" s="10" t="s">
        <v>843</v>
      </c>
      <c r="C70" s="12" t="s">
        <v>495</v>
      </c>
      <c r="D70" s="10" t="s">
        <v>844</v>
      </c>
      <c r="E70" s="13" t="str">
        <f>HYPERLINK("https://youtu.be/r29BItdyXDk","channel 2")</f>
        <v>channel 2</v>
      </c>
    </row>
    <row r="71">
      <c r="A71" s="7"/>
      <c r="B71" s="10" t="s">
        <v>845</v>
      </c>
      <c r="C71" s="12" t="s">
        <v>37</v>
      </c>
      <c r="D71" s="10" t="s">
        <v>840</v>
      </c>
      <c r="E71" s="36" t="str">
        <f>HYPERLINK("https://youtu.be/qjt7_FGehBM?t=972","channel 1")</f>
        <v>channel 1</v>
      </c>
    </row>
    <row r="72">
      <c r="A72" s="7"/>
      <c r="B72" s="10" t="s">
        <v>843</v>
      </c>
      <c r="C72" s="12" t="s">
        <v>311</v>
      </c>
      <c r="D72" s="10" t="s">
        <v>842</v>
      </c>
      <c r="E72" s="13" t="str">
        <f>HYPERLINK("https://youtu.be/r29BItdyXDk?t=998","channel 2")</f>
        <v>channel 2</v>
      </c>
    </row>
    <row r="73">
      <c r="A73" s="7"/>
      <c r="B73" s="10" t="s">
        <v>845</v>
      </c>
      <c r="C73" s="12" t="s">
        <v>57</v>
      </c>
      <c r="D73" s="10" t="s">
        <v>844</v>
      </c>
      <c r="E73" s="36" t="str">
        <f>HYPERLINK("https://youtu.be/qjt7_FGehBM?t=1877","channel 1")</f>
        <v>channel 1</v>
      </c>
    </row>
    <row r="74">
      <c r="A74" s="7"/>
      <c r="B74" s="10" t="s">
        <v>843</v>
      </c>
      <c r="C74" s="12" t="s">
        <v>10</v>
      </c>
      <c r="D74" s="10" t="s">
        <v>840</v>
      </c>
      <c r="E74" s="13" t="str">
        <f>HYPERLINK("https://youtu.be/r29BItdyXDk?t=1918","channel 2")</f>
        <v>channel 2</v>
      </c>
    </row>
    <row r="75">
      <c r="A75" s="7"/>
      <c r="B75" s="10" t="s">
        <v>845</v>
      </c>
      <c r="C75" s="46" t="s">
        <v>84</v>
      </c>
      <c r="D75" s="10" t="s">
        <v>842</v>
      </c>
      <c r="E75" s="36" t="str">
        <f>HYPERLINK("https://youtu.be/qjt7_FGehBM?t=2967","channel 1")</f>
        <v>channel 1</v>
      </c>
    </row>
    <row r="76">
      <c r="A76" s="7"/>
      <c r="B76" s="10" t="s">
        <v>844</v>
      </c>
      <c r="C76" s="12" t="s">
        <v>56</v>
      </c>
      <c r="D76" s="10" t="s">
        <v>840</v>
      </c>
      <c r="E76" s="13" t="str">
        <f>HYPERLINK("https://youtu.be/r29BItdyXDk?t=3097","channel 2")</f>
        <v>channel 2</v>
      </c>
    </row>
    <row r="77">
      <c r="A77" s="7"/>
      <c r="B77" s="10" t="s">
        <v>845</v>
      </c>
      <c r="C77" s="12" t="s">
        <v>32</v>
      </c>
      <c r="D77" s="10" t="s">
        <v>843</v>
      </c>
      <c r="E77" s="36" t="str">
        <f>HYPERLINK("https://youtu.be/qjt7_FGehBM?t=3976","channel 1")</f>
        <v>channel 1</v>
      </c>
    </row>
    <row r="78">
      <c r="A78" s="7"/>
      <c r="B78" s="10" t="s">
        <v>844</v>
      </c>
      <c r="C78" s="12" t="s">
        <v>34</v>
      </c>
      <c r="D78" s="10" t="s">
        <v>842</v>
      </c>
      <c r="E78" s="13" t="str">
        <f>HYPERLINK("https://youtu.be/r29BItdyXDk?t=4064","channel 2")</f>
        <v>channel 2</v>
      </c>
    </row>
    <row r="79">
      <c r="A79" s="7"/>
      <c r="B79" s="10" t="s">
        <v>842</v>
      </c>
      <c r="C79" s="12" t="s">
        <v>59</v>
      </c>
      <c r="D79" s="10" t="s">
        <v>840</v>
      </c>
      <c r="E79" s="36" t="str">
        <f>HYPERLINK("https://youtu.be/qjt7_FGehBM?t=4962","channel 1")</f>
        <v>channel 1</v>
      </c>
    </row>
    <row r="80">
      <c r="A80" s="7"/>
      <c r="B80" s="10" t="s">
        <v>844</v>
      </c>
      <c r="C80" s="12" t="s">
        <v>846</v>
      </c>
      <c r="D80" s="10" t="s">
        <v>843</v>
      </c>
      <c r="E80" s="13" t="str">
        <f>HYPERLINK("https://youtu.be/r29BItdyXDk?t=5110","channel 2")</f>
        <v>channel 2</v>
      </c>
    </row>
    <row r="81">
      <c r="A81" s="7"/>
      <c r="B81" s="10" t="s">
        <v>840</v>
      </c>
      <c r="C81" s="12" t="s">
        <v>109</v>
      </c>
      <c r="D81" s="10" t="s">
        <v>845</v>
      </c>
      <c r="E81" s="36" t="str">
        <f>HYPERLINK("https://youtu.be/qjt7_FGehBM?t=6030","channel 1")</f>
        <v>channel 1</v>
      </c>
    </row>
    <row r="82">
      <c r="A82" s="7"/>
      <c r="B82" s="10" t="s">
        <v>842</v>
      </c>
      <c r="C82" s="12" t="s">
        <v>145</v>
      </c>
      <c r="D82" s="10" t="s">
        <v>843</v>
      </c>
      <c r="E82" s="13" t="str">
        <f>HYPERLINK("https://youtu.be/r29BItdyXDk?t=6276","channel 2")</f>
        <v>channel 2</v>
      </c>
    </row>
    <row r="83">
      <c r="A83" s="7"/>
      <c r="B83" s="10" t="s">
        <v>844</v>
      </c>
      <c r="C83" s="12" t="s">
        <v>138</v>
      </c>
      <c r="D83" s="10" t="s">
        <v>845</v>
      </c>
      <c r="E83" s="36" t="str">
        <f>HYPERLINK("https://youtu.be/qjt7_FGehBM?t=7007","channel 1")</f>
        <v>channel 1</v>
      </c>
    </row>
    <row r="84">
      <c r="A84" s="7"/>
      <c r="B84" s="10" t="s">
        <v>840</v>
      </c>
      <c r="C84" s="12" t="s">
        <v>109</v>
      </c>
      <c r="D84" s="10" t="s">
        <v>843</v>
      </c>
      <c r="E84" s="13" t="str">
        <f>HYPERLINK("https://youtu.be/r29BItdyXDk?t=7183","channel 2")</f>
        <v>channel 2</v>
      </c>
    </row>
    <row r="85">
      <c r="A85" s="7"/>
      <c r="B85" s="10" t="s">
        <v>842</v>
      </c>
      <c r="C85" s="12" t="s">
        <v>212</v>
      </c>
      <c r="D85" s="10" t="s">
        <v>845</v>
      </c>
      <c r="E85" s="36" t="str">
        <f>HYPERLINK("https://youtu.be/qjt7_FGehBM?t=7956","channel 1")</f>
        <v>channel 1</v>
      </c>
    </row>
    <row r="86">
      <c r="A86" s="7"/>
      <c r="B86" s="10" t="s">
        <v>840</v>
      </c>
      <c r="C86" s="12" t="s">
        <v>328</v>
      </c>
      <c r="D86" s="10" t="s">
        <v>844</v>
      </c>
      <c r="E86" s="13" t="str">
        <f>HYPERLINK("https://youtu.be/r29BItdyXDk?t=8135","channel 2")</f>
        <v>channel 2</v>
      </c>
    </row>
    <row r="87">
      <c r="A87" s="7"/>
      <c r="B87" s="10" t="s">
        <v>843</v>
      </c>
      <c r="C87" s="12" t="s">
        <v>106</v>
      </c>
      <c r="D87" s="10" t="s">
        <v>845</v>
      </c>
      <c r="E87" s="36" t="str">
        <f>HYPERLINK("https://youtu.be/qjt7_FGehBM?t=8934","channel 1")</f>
        <v>channel 1</v>
      </c>
    </row>
    <row r="88">
      <c r="A88" s="7"/>
      <c r="B88" s="10" t="s">
        <v>842</v>
      </c>
      <c r="C88" s="12" t="s">
        <v>103</v>
      </c>
      <c r="D88" s="10" t="s">
        <v>844</v>
      </c>
      <c r="E88" s="13" t="str">
        <f>HYPERLINK("https://youtu.be/r29BItdyXDk?t=8992","channel 2")</f>
        <v>channel 2</v>
      </c>
    </row>
    <row r="89">
      <c r="A89" s="7"/>
      <c r="B89" s="2" t="s">
        <v>847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47" t="s">
        <v>523</v>
      </c>
      <c r="C91" s="12" t="s">
        <v>237</v>
      </c>
      <c r="D91" s="10" t="s">
        <v>527</v>
      </c>
      <c r="E91" s="36" t="str">
        <f>HYPERLINK("https://youtu.be/KQsEYr_BU-U","channel 1")</f>
        <v>channel 1</v>
      </c>
    </row>
    <row r="92">
      <c r="A92" s="7"/>
      <c r="B92" s="10" t="s">
        <v>848</v>
      </c>
      <c r="C92" s="12" t="s">
        <v>93</v>
      </c>
      <c r="D92" s="10" t="s">
        <v>849</v>
      </c>
      <c r="E92" s="13" t="str">
        <f>HYPERLINK("https://youtu.be/oS5GFNbC0zE","channel 2")</f>
        <v>channel 2</v>
      </c>
    </row>
    <row r="93">
      <c r="A93" s="7"/>
      <c r="B93" s="10" t="s">
        <v>850</v>
      </c>
      <c r="C93" s="12" t="s">
        <v>168</v>
      </c>
      <c r="D93" s="10" t="s">
        <v>523</v>
      </c>
      <c r="E93" s="36" t="str">
        <f>HYPERLINK("https://youtu.be/KQsEYr_BU-U?t=1103","channel 1")</f>
        <v>channel 1</v>
      </c>
    </row>
    <row r="94">
      <c r="A94" s="7"/>
      <c r="B94" s="10" t="s">
        <v>848</v>
      </c>
      <c r="C94" s="12" t="s">
        <v>89</v>
      </c>
      <c r="D94" s="10" t="s">
        <v>527</v>
      </c>
      <c r="E94" s="13" t="str">
        <f>HYPERLINK("https://youtu.be/oS5GFNbC0zE?t=1033","channel 2")</f>
        <v>channel 2</v>
      </c>
    </row>
    <row r="95">
      <c r="A95" s="7"/>
      <c r="B95" s="10" t="s">
        <v>850</v>
      </c>
      <c r="C95" s="12" t="s">
        <v>214</v>
      </c>
      <c r="D95" s="10" t="s">
        <v>849</v>
      </c>
      <c r="E95" s="36" t="str">
        <f>HYPERLINK("https://youtu.be/KQsEYr_BU-U?t=2023","channel 1")</f>
        <v>channel 1</v>
      </c>
    </row>
    <row r="96">
      <c r="A96" s="7"/>
      <c r="B96" s="10" t="s">
        <v>848</v>
      </c>
      <c r="C96" s="12" t="s">
        <v>97</v>
      </c>
      <c r="D96" s="10" t="s">
        <v>523</v>
      </c>
      <c r="E96" s="13" t="str">
        <f>HYPERLINK("https://youtu.be/oS5GFNbC0zE?t=1982","channel 2")</f>
        <v>channel 2</v>
      </c>
    </row>
    <row r="97">
      <c r="A97" s="7"/>
      <c r="B97" s="10" t="s">
        <v>850</v>
      </c>
      <c r="C97" s="12" t="s">
        <v>571</v>
      </c>
      <c r="D97" s="10" t="s">
        <v>527</v>
      </c>
      <c r="E97" s="36" t="str">
        <f>HYPERLINK("https://youtu.be/KQsEYr_BU-U?t=2953","channel 1")</f>
        <v>channel 1</v>
      </c>
    </row>
    <row r="98">
      <c r="A98" s="7"/>
      <c r="B98" s="10" t="s">
        <v>849</v>
      </c>
      <c r="C98" s="12" t="s">
        <v>10</v>
      </c>
      <c r="D98" s="10" t="s">
        <v>523</v>
      </c>
      <c r="E98" s="13" t="str">
        <f>HYPERLINK("https://youtu.be/oS5GFNbC0zE?t=3005","channel 2")</f>
        <v>channel 2</v>
      </c>
    </row>
    <row r="99">
      <c r="A99" s="7"/>
      <c r="B99" s="10" t="s">
        <v>850</v>
      </c>
      <c r="C99" s="12" t="s">
        <v>851</v>
      </c>
      <c r="D99" s="10" t="s">
        <v>848</v>
      </c>
      <c r="E99" s="36" t="str">
        <f>HYPERLINK("https://youtu.be/KQsEYr_BU-U?t=3880","channel 1")</f>
        <v>channel 1</v>
      </c>
    </row>
    <row r="100">
      <c r="A100" s="7"/>
      <c r="B100" s="10" t="s">
        <v>849</v>
      </c>
      <c r="C100" s="12" t="s">
        <v>124</v>
      </c>
      <c r="D100" s="10" t="s">
        <v>527</v>
      </c>
      <c r="E100" s="13" t="str">
        <f>HYPERLINK("https://youtu.be/oS5GFNbC0zE?t=3889","channel 2")</f>
        <v>channel 2</v>
      </c>
    </row>
    <row r="101">
      <c r="A101" s="7"/>
      <c r="B101" s="10" t="s">
        <v>527</v>
      </c>
      <c r="C101" s="12" t="s">
        <v>145</v>
      </c>
      <c r="D101" s="10" t="s">
        <v>523</v>
      </c>
      <c r="E101" s="36" t="str">
        <f>HYPERLINK("https://youtu.be/KQsEYr_BU-U?t=4788","channel 1")</f>
        <v>channel 1</v>
      </c>
    </row>
    <row r="102">
      <c r="A102" s="7"/>
      <c r="B102" s="10" t="s">
        <v>849</v>
      </c>
      <c r="C102" s="12" t="s">
        <v>32</v>
      </c>
      <c r="D102" s="10" t="s">
        <v>848</v>
      </c>
      <c r="E102" s="13" t="str">
        <f>HYPERLINK("https://youtu.be/oS5GFNbC0zE?t=4762","channel 2")</f>
        <v>channel 2</v>
      </c>
    </row>
    <row r="103">
      <c r="A103" s="7"/>
      <c r="B103" s="10" t="s">
        <v>523</v>
      </c>
      <c r="C103" s="12" t="s">
        <v>632</v>
      </c>
      <c r="D103" s="10" t="s">
        <v>850</v>
      </c>
      <c r="E103" s="36" t="str">
        <f>HYPERLINK("https://youtu.be/KQsEYr_BU-U?t=5680","channel 1")</f>
        <v>channel 1</v>
      </c>
    </row>
    <row r="104">
      <c r="A104" s="7"/>
      <c r="B104" s="10" t="s">
        <v>527</v>
      </c>
      <c r="C104" s="12" t="s">
        <v>255</v>
      </c>
      <c r="D104" s="10" t="s">
        <v>848</v>
      </c>
      <c r="E104" s="13" t="str">
        <f>HYPERLINK("https://youtu.be/oS5GFNbC0zE?t=5627","channel 2")</f>
        <v>channel 2</v>
      </c>
    </row>
    <row r="105">
      <c r="A105" s="7"/>
      <c r="B105" s="10" t="s">
        <v>849</v>
      </c>
      <c r="C105" s="12" t="s">
        <v>180</v>
      </c>
      <c r="D105" s="10" t="s">
        <v>850</v>
      </c>
      <c r="E105" s="36" t="str">
        <f>HYPERLINK("https://youtu.be/KQsEYr_BU-U?t=6649","channel 1")</f>
        <v>channel 1</v>
      </c>
    </row>
    <row r="106">
      <c r="A106" s="7"/>
      <c r="B106" s="10" t="s">
        <v>523</v>
      </c>
      <c r="C106" s="12" t="s">
        <v>10</v>
      </c>
      <c r="D106" s="10" t="s">
        <v>848</v>
      </c>
      <c r="E106" s="13" t="str">
        <f>HYPERLINK("https://youtu.be/oS5GFNbC0zE?t=6548","channel 2")</f>
        <v>channel 2</v>
      </c>
    </row>
    <row r="107">
      <c r="A107" s="7"/>
      <c r="B107" s="10" t="s">
        <v>527</v>
      </c>
      <c r="C107" s="12" t="s">
        <v>157</v>
      </c>
      <c r="D107" s="10" t="s">
        <v>850</v>
      </c>
      <c r="E107" s="36" t="str">
        <f>HYPERLINK("https://youtu.be/KQsEYr_BU-U?t=7660","channel 1")</f>
        <v>channel 1</v>
      </c>
    </row>
    <row r="108">
      <c r="A108" s="7"/>
      <c r="B108" s="10" t="s">
        <v>523</v>
      </c>
      <c r="C108" s="12" t="s">
        <v>194</v>
      </c>
      <c r="D108" s="10" t="s">
        <v>849</v>
      </c>
      <c r="E108" s="13" t="str">
        <f>HYPERLINK("https://youtu.be/oS5GFNbC0zE?t=7674","channel 2")</f>
        <v>channel 2</v>
      </c>
    </row>
    <row r="109">
      <c r="A109" s="7"/>
      <c r="B109" s="10" t="s">
        <v>848</v>
      </c>
      <c r="C109" s="12" t="s">
        <v>143</v>
      </c>
      <c r="D109" s="10" t="s">
        <v>850</v>
      </c>
      <c r="E109" s="36" t="str">
        <f>HYPERLINK("https://youtu.be/KQsEYr_BU-U?t=8570","channel 1")</f>
        <v>channel 1</v>
      </c>
    </row>
    <row r="110">
      <c r="A110" s="7"/>
      <c r="B110" s="10" t="s">
        <v>527</v>
      </c>
      <c r="C110" s="12" t="s">
        <v>225</v>
      </c>
      <c r="D110" s="10" t="s">
        <v>849</v>
      </c>
      <c r="E110" s="13" t="str">
        <f>HYPERLINK("https://youtu.be/oS5GFNbC0zE?t=8617","channel 2")</f>
        <v>channel 2</v>
      </c>
    </row>
    <row r="111">
      <c r="A111" s="7"/>
      <c r="B111" s="2" t="s">
        <v>648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10" t="s">
        <v>828</v>
      </c>
      <c r="C113" s="12" t="s">
        <v>852</v>
      </c>
      <c r="D113" s="10" t="s">
        <v>829</v>
      </c>
      <c r="E113" s="36" t="str">
        <f>HYPERLINK("https://youtu.be/gU_YFEV_KaI","channel 1")</f>
        <v>channel 1</v>
      </c>
    </row>
    <row r="114">
      <c r="A114" s="7"/>
      <c r="B114" s="10" t="s">
        <v>831</v>
      </c>
      <c r="C114" s="12" t="s">
        <v>30</v>
      </c>
      <c r="D114" s="10" t="s">
        <v>853</v>
      </c>
      <c r="E114" s="13" t="str">
        <f>HYPERLINK("https://youtu.be/gzHHJ3832y8","channel 2")</f>
        <v>channel 2</v>
      </c>
    </row>
    <row r="115">
      <c r="A115" s="7"/>
      <c r="B115" s="10" t="s">
        <v>834</v>
      </c>
      <c r="C115" s="12" t="s">
        <v>854</v>
      </c>
      <c r="D115" s="10" t="s">
        <v>828</v>
      </c>
      <c r="E115" s="36" t="str">
        <f>HYPERLINK("https://youtu.be/gU_YFEV_KaI?t=991","channel 1")</f>
        <v>channel 1</v>
      </c>
    </row>
    <row r="116">
      <c r="A116" s="7"/>
      <c r="B116" s="10" t="s">
        <v>831</v>
      </c>
      <c r="C116" s="12" t="s">
        <v>214</v>
      </c>
      <c r="D116" s="10" t="s">
        <v>829</v>
      </c>
      <c r="E116" s="13" t="str">
        <f>HYPERLINK("https://youtu.be/gzHHJ3832y8?t=954","channel 2")</f>
        <v>channel 2</v>
      </c>
    </row>
    <row r="117">
      <c r="A117" s="7"/>
      <c r="B117" s="10" t="s">
        <v>834</v>
      </c>
      <c r="C117" s="12" t="s">
        <v>40</v>
      </c>
      <c r="D117" s="10" t="s">
        <v>853</v>
      </c>
      <c r="E117" s="36" t="str">
        <f>HYPERLINK("https://youtu.be/gU_YFEV_KaI?t=1918","channel 1")</f>
        <v>channel 1</v>
      </c>
    </row>
    <row r="118">
      <c r="A118" s="7"/>
      <c r="B118" s="10" t="s">
        <v>831</v>
      </c>
      <c r="C118" s="12" t="s">
        <v>74</v>
      </c>
      <c r="D118" s="10" t="s">
        <v>828</v>
      </c>
      <c r="E118" s="13" t="str">
        <f>HYPERLINK("https://youtu.be/gzHHJ3832y8?t=1801","channel 2")</f>
        <v>channel 2</v>
      </c>
    </row>
    <row r="119">
      <c r="A119" s="7"/>
      <c r="B119" s="10" t="s">
        <v>834</v>
      </c>
      <c r="C119" s="12" t="s">
        <v>18</v>
      </c>
      <c r="D119" s="10" t="s">
        <v>829</v>
      </c>
      <c r="E119" s="36" t="str">
        <f>HYPERLINK("https://youtu.be/gU_YFEV_KaI?t=2910","channel 1")</f>
        <v>channel 1</v>
      </c>
    </row>
    <row r="120">
      <c r="A120" s="7"/>
      <c r="B120" s="10" t="s">
        <v>853</v>
      </c>
      <c r="C120" s="12" t="s">
        <v>49</v>
      </c>
      <c r="D120" s="10" t="s">
        <v>828</v>
      </c>
      <c r="E120" s="13" t="str">
        <f>HYPERLINK("https://youtu.be/gzHHJ3832y8?t=2782","channel 2")</f>
        <v>channel 2</v>
      </c>
    </row>
    <row r="121">
      <c r="A121" s="7"/>
      <c r="B121" s="10" t="s">
        <v>834</v>
      </c>
      <c r="C121" s="12" t="s">
        <v>308</v>
      </c>
      <c r="D121" s="10" t="s">
        <v>831</v>
      </c>
      <c r="E121" s="36" t="str">
        <f>HYPERLINK("https://youtu.be/gU_YFEV_KaI?t=3851","channel 1")</f>
        <v>channel 1</v>
      </c>
    </row>
    <row r="122">
      <c r="A122" s="7"/>
      <c r="B122" s="10" t="s">
        <v>853</v>
      </c>
      <c r="C122" s="12" t="s">
        <v>85</v>
      </c>
      <c r="D122" s="10" t="s">
        <v>829</v>
      </c>
      <c r="E122" s="13" t="str">
        <f>HYPERLINK("https://youtu.be/gzHHJ3832y8?t=3659","channel 2")</f>
        <v>channel 2</v>
      </c>
    </row>
    <row r="123">
      <c r="A123" s="7"/>
      <c r="B123" s="10" t="s">
        <v>829</v>
      </c>
      <c r="C123" s="12" t="s">
        <v>49</v>
      </c>
      <c r="D123" s="10" t="s">
        <v>828</v>
      </c>
      <c r="E123" s="36" t="str">
        <f>HYPERLINK("https://youtu.be/gU_YFEV_KaI?t=4803","channel 1")</f>
        <v>channel 1</v>
      </c>
    </row>
    <row r="124">
      <c r="A124" s="7"/>
      <c r="B124" s="10" t="s">
        <v>853</v>
      </c>
      <c r="C124" s="12" t="s">
        <v>210</v>
      </c>
      <c r="D124" s="10" t="s">
        <v>831</v>
      </c>
      <c r="E124" s="13" t="str">
        <f>HYPERLINK("https://youtu.be/gzHHJ3832y8?t=3659","channel 2")</f>
        <v>channel 2</v>
      </c>
    </row>
    <row r="125">
      <c r="A125" s="7"/>
      <c r="B125" s="10" t="s">
        <v>828</v>
      </c>
      <c r="C125" s="12" t="s">
        <v>477</v>
      </c>
      <c r="D125" s="10" t="s">
        <v>834</v>
      </c>
      <c r="E125" s="36" t="str">
        <f>HYPERLINK("https://youtu.be/gU_YFEV_KaI?t=5731","channel 1")</f>
        <v>channel 1</v>
      </c>
    </row>
    <row r="126">
      <c r="A126" s="7"/>
      <c r="B126" s="10" t="s">
        <v>829</v>
      </c>
      <c r="C126" s="12" t="s">
        <v>102</v>
      </c>
      <c r="D126" s="10" t="s">
        <v>831</v>
      </c>
      <c r="E126" s="13" t="str">
        <f>HYPERLINK("https://youtu.be/gzHHJ3832y8?t=5609","channel 2")</f>
        <v>channel 2</v>
      </c>
    </row>
    <row r="127">
      <c r="A127" s="7"/>
      <c r="B127" s="10" t="s">
        <v>853</v>
      </c>
      <c r="C127" s="12" t="s">
        <v>127</v>
      </c>
      <c r="D127" s="10" t="s">
        <v>834</v>
      </c>
      <c r="E127" s="36" t="str">
        <f>HYPERLINK("https://youtu.be/gU_YFEV_KaI?t=6658","channel 1")</f>
        <v>channel 1</v>
      </c>
    </row>
    <row r="128">
      <c r="A128" s="7"/>
      <c r="B128" s="10" t="s">
        <v>828</v>
      </c>
      <c r="C128" s="12" t="s">
        <v>436</v>
      </c>
      <c r="D128" s="10" t="s">
        <v>831</v>
      </c>
      <c r="E128" s="13" t="str">
        <f>HYPERLINK("https://youtu.be/gzHHJ3832y8?t=6551","channel 2")</f>
        <v>channel 2</v>
      </c>
    </row>
    <row r="129">
      <c r="A129" s="7"/>
      <c r="B129" s="10" t="s">
        <v>829</v>
      </c>
      <c r="C129" s="12" t="s">
        <v>725</v>
      </c>
      <c r="D129" s="10" t="s">
        <v>834</v>
      </c>
      <c r="E129" s="36" t="str">
        <f>HYPERLINK("https://youtu.be/gU_YFEV_KaI?t=7547","channel 1")</f>
        <v>channel 1</v>
      </c>
    </row>
    <row r="130">
      <c r="A130" s="7"/>
      <c r="B130" s="10" t="s">
        <v>828</v>
      </c>
      <c r="C130" s="12" t="s">
        <v>146</v>
      </c>
      <c r="D130" s="10" t="s">
        <v>853</v>
      </c>
      <c r="E130" s="13" t="str">
        <f>HYPERLINK("https://youtu.be/gzHHJ3832y8?t=7473","channel 2")</f>
        <v>channel 2</v>
      </c>
    </row>
    <row r="131">
      <c r="A131" s="7"/>
      <c r="B131" s="10" t="s">
        <v>831</v>
      </c>
      <c r="C131" s="12" t="s">
        <v>806</v>
      </c>
      <c r="D131" s="10" t="s">
        <v>834</v>
      </c>
      <c r="E131" s="36" t="str">
        <f>HYPERLINK("https://youtu.be/gU_YFEV_KaI?t=8472","channel 1")</f>
        <v>channel 1</v>
      </c>
    </row>
    <row r="132">
      <c r="A132" s="25"/>
      <c r="B132" s="10" t="s">
        <v>829</v>
      </c>
      <c r="C132" s="12" t="s">
        <v>11</v>
      </c>
      <c r="D132" s="10" t="s">
        <v>853</v>
      </c>
      <c r="E132" s="13" t="str">
        <f>HYPERLINK("https://youtu.be/gzHHJ3832y8?t=8317","channel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10" t="s">
        <v>855</v>
      </c>
      <c r="C3" s="12" t="s">
        <v>30</v>
      </c>
      <c r="D3" s="10" t="s">
        <v>677</v>
      </c>
      <c r="E3" s="36" t="str">
        <f>HYPERLINK("https://youtu.be/BezndDkDUes","channel 1")</f>
        <v>channel 1</v>
      </c>
    </row>
    <row r="4">
      <c r="A4" s="7"/>
      <c r="B4" s="10" t="s">
        <v>354</v>
      </c>
      <c r="C4" s="37" t="s">
        <v>108</v>
      </c>
      <c r="D4" s="10" t="s">
        <v>856</v>
      </c>
      <c r="E4" s="13" t="str">
        <f>HYPERLINK("https://youtu.be/TT-Csga3Frg","channel 2")</f>
        <v>channel 2</v>
      </c>
    </row>
    <row r="5">
      <c r="A5" s="7"/>
      <c r="B5" s="10" t="s">
        <v>857</v>
      </c>
      <c r="C5" s="12" t="s">
        <v>24</v>
      </c>
      <c r="D5" s="10" t="s">
        <v>855</v>
      </c>
      <c r="E5" s="36" t="str">
        <f>HYPERLINK("https://youtu.be/BezndDkDUes?t=1001","channel 1")</f>
        <v>channel 1</v>
      </c>
    </row>
    <row r="6">
      <c r="A6" s="7"/>
      <c r="B6" s="10" t="s">
        <v>354</v>
      </c>
      <c r="C6" s="12" t="s">
        <v>160</v>
      </c>
      <c r="D6" s="10" t="s">
        <v>677</v>
      </c>
      <c r="E6" s="13" t="str">
        <f>HYPERLINK("https://youtu.be/TT-Csga3Frg?t=876","channel 2")</f>
        <v>channel 2</v>
      </c>
    </row>
    <row r="7">
      <c r="A7" s="7"/>
      <c r="B7" s="10" t="s">
        <v>857</v>
      </c>
      <c r="C7" s="12" t="s">
        <v>108</v>
      </c>
      <c r="D7" s="10" t="s">
        <v>856</v>
      </c>
      <c r="E7" s="36" t="str">
        <f>HYPERLINK("https://youtu.be/BezndDkDUes?t=1966","channel 1")</f>
        <v>channel 1</v>
      </c>
    </row>
    <row r="8">
      <c r="A8" s="7"/>
      <c r="B8" s="10" t="s">
        <v>354</v>
      </c>
      <c r="C8" s="12" t="s">
        <v>40</v>
      </c>
      <c r="D8" s="10" t="s">
        <v>855</v>
      </c>
      <c r="E8" s="13" t="str">
        <f>HYPERLINK("https://youtu.be/TT-Csga3Frg?t=1739","channel 2")</f>
        <v>channel 2</v>
      </c>
    </row>
    <row r="9">
      <c r="A9" s="7"/>
      <c r="B9" s="10" t="s">
        <v>857</v>
      </c>
      <c r="C9" s="12" t="s">
        <v>46</v>
      </c>
      <c r="D9" s="10" t="s">
        <v>677</v>
      </c>
      <c r="E9" s="36" t="str">
        <f>HYPERLINK("https://youtu.be/BezndDkDUes?t=2908","channel 1")</f>
        <v>channel 1</v>
      </c>
    </row>
    <row r="10">
      <c r="A10" s="7"/>
      <c r="B10" s="10" t="s">
        <v>856</v>
      </c>
      <c r="C10" s="12" t="s">
        <v>141</v>
      </c>
      <c r="D10" s="10" t="s">
        <v>855</v>
      </c>
      <c r="E10" s="13" t="str">
        <f>HYPERLINK("https://youtu.be/TT-Csga3Frg?t=2704","channel 2")</f>
        <v>channel 2</v>
      </c>
    </row>
    <row r="11">
      <c r="A11" s="7"/>
      <c r="B11" s="10" t="s">
        <v>857</v>
      </c>
      <c r="C11" s="12" t="s">
        <v>318</v>
      </c>
      <c r="D11" s="10" t="s">
        <v>354</v>
      </c>
      <c r="E11" s="36" t="str">
        <f>HYPERLINK("https://youtu.be/BezndDkDUes?t=3895","channel 1")</f>
        <v>channel 1</v>
      </c>
    </row>
    <row r="12">
      <c r="A12" s="7"/>
      <c r="B12" s="10" t="s">
        <v>856</v>
      </c>
      <c r="C12" s="12" t="s">
        <v>145</v>
      </c>
      <c r="D12" s="10" t="s">
        <v>677</v>
      </c>
      <c r="E12" s="13" t="str">
        <f>HYPERLINK("https://youtu.be/TT-Csga3Frg?t=3653","channel 2")</f>
        <v>channel 2</v>
      </c>
    </row>
    <row r="13">
      <c r="A13" s="7"/>
      <c r="B13" s="10" t="s">
        <v>677</v>
      </c>
      <c r="C13" s="12" t="s">
        <v>49</v>
      </c>
      <c r="D13" s="10" t="s">
        <v>855</v>
      </c>
      <c r="E13" s="36" t="str">
        <f>HYPERLINK("https://youtu.be/BezndDkDUes?t=4831","channel 1")</f>
        <v>channel 1</v>
      </c>
    </row>
    <row r="14">
      <c r="A14" s="7"/>
      <c r="B14" s="10" t="s">
        <v>856</v>
      </c>
      <c r="C14" s="12" t="s">
        <v>858</v>
      </c>
      <c r="D14" s="10" t="s">
        <v>354</v>
      </c>
      <c r="E14" s="13" t="str">
        <f>HYPERLINK("https://youtu.be/TT-Csga3Frg?t=4553","channel 2")</f>
        <v>channel 2</v>
      </c>
    </row>
    <row r="15">
      <c r="A15" s="7"/>
      <c r="B15" s="10" t="s">
        <v>855</v>
      </c>
      <c r="C15" s="12" t="s">
        <v>109</v>
      </c>
      <c r="D15" s="10" t="s">
        <v>857</v>
      </c>
      <c r="E15" s="36" t="str">
        <f>HYPERLINK("https://youtu.be/BezndDkDUes?t=5845","channel 1")</f>
        <v>channel 1</v>
      </c>
    </row>
    <row r="16">
      <c r="A16" s="7"/>
      <c r="B16" s="10" t="s">
        <v>677</v>
      </c>
      <c r="C16" s="12" t="s">
        <v>859</v>
      </c>
      <c r="D16" s="10" t="s">
        <v>354</v>
      </c>
      <c r="E16" s="13" t="str">
        <f>HYPERLINK("https://youtu.be/TT-Csga3Frg?t=5616","channel 2")</f>
        <v>channel 2</v>
      </c>
    </row>
    <row r="17">
      <c r="A17" s="7"/>
      <c r="B17" s="10" t="s">
        <v>856</v>
      </c>
      <c r="C17" s="12" t="s">
        <v>10</v>
      </c>
      <c r="D17" s="10" t="s">
        <v>857</v>
      </c>
      <c r="E17" s="36" t="str">
        <f>HYPERLINK("https://youtu.be/BezndDkDUes?t=6817","channel 1")</f>
        <v>channel 1</v>
      </c>
    </row>
    <row r="18">
      <c r="A18" s="7"/>
      <c r="B18" s="10" t="s">
        <v>855</v>
      </c>
      <c r="C18" s="12" t="s">
        <v>10</v>
      </c>
      <c r="D18" s="10" t="s">
        <v>354</v>
      </c>
      <c r="E18" s="13" t="str">
        <f>HYPERLINK("https://youtu.be/TT-Csga3Frg?t=6625","channel 2")</f>
        <v>channel 2</v>
      </c>
    </row>
    <row r="19">
      <c r="A19" s="7"/>
      <c r="B19" s="10" t="s">
        <v>677</v>
      </c>
      <c r="C19" s="12" t="s">
        <v>74</v>
      </c>
      <c r="D19" s="10" t="s">
        <v>857</v>
      </c>
      <c r="E19" s="36" t="str">
        <f>HYPERLINK("https://youtu.be/BezndDkDUes?t=7826","channel 1")</f>
        <v>channel 1</v>
      </c>
    </row>
    <row r="20">
      <c r="A20" s="7"/>
      <c r="B20" s="10" t="s">
        <v>855</v>
      </c>
      <c r="C20" s="12" t="s">
        <v>296</v>
      </c>
      <c r="D20" s="10" t="s">
        <v>856</v>
      </c>
      <c r="E20" s="13" t="str">
        <f>HYPERLINK("https://youtu.be/TT-Csga3Frg?t=7570","channel 2")</f>
        <v>channel 2</v>
      </c>
    </row>
    <row r="21">
      <c r="A21" s="7"/>
      <c r="B21" s="10" t="s">
        <v>354</v>
      </c>
      <c r="C21" s="12" t="s">
        <v>223</v>
      </c>
      <c r="D21" s="10" t="s">
        <v>857</v>
      </c>
      <c r="E21" s="36" t="str">
        <f>HYPERLINK("https://youtu.be/BezndDkDUes?t=8764","channel 1")</f>
        <v>channel 1</v>
      </c>
    </row>
    <row r="22">
      <c r="A22" s="7"/>
      <c r="B22" s="10" t="s">
        <v>677</v>
      </c>
      <c r="C22" s="12" t="s">
        <v>105</v>
      </c>
      <c r="D22" s="10" t="s">
        <v>856</v>
      </c>
      <c r="E22" s="13" t="str">
        <f>HYPERLINK("https://youtu.be/TT-Csga3Frg?t=8473","channel 2")</f>
        <v>channel 2</v>
      </c>
    </row>
    <row r="23">
      <c r="A23" s="7"/>
      <c r="B23" s="2" t="s">
        <v>64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10" t="s">
        <v>860</v>
      </c>
      <c r="C25" s="12" t="s">
        <v>32</v>
      </c>
      <c r="D25" s="10" t="s">
        <v>861</v>
      </c>
      <c r="E25" s="36" t="str">
        <f>HYPERLINK("https://youtu.be/3eZPKdbRCYQ","channel 1")</f>
        <v>channel 1</v>
      </c>
    </row>
    <row r="26">
      <c r="A26" s="7"/>
      <c r="B26" s="10" t="s">
        <v>862</v>
      </c>
      <c r="C26" s="12" t="s">
        <v>109</v>
      </c>
      <c r="D26" s="10" t="s">
        <v>863</v>
      </c>
      <c r="E26" s="13" t="str">
        <f>HYPERLINK("https://youtu.be/byiqfAmOok0","channel 2")</f>
        <v>channel 2</v>
      </c>
    </row>
    <row r="27">
      <c r="A27" s="7"/>
      <c r="B27" s="10" t="s">
        <v>864</v>
      </c>
      <c r="C27" s="12" t="s">
        <v>865</v>
      </c>
      <c r="D27" s="10" t="s">
        <v>860</v>
      </c>
      <c r="E27" s="50" t="s">
        <v>26</v>
      </c>
    </row>
    <row r="28">
      <c r="A28" s="7"/>
      <c r="B28" s="10" t="s">
        <v>862</v>
      </c>
      <c r="C28" s="12" t="s">
        <v>272</v>
      </c>
      <c r="D28" s="10" t="s">
        <v>861</v>
      </c>
      <c r="E28" s="13" t="str">
        <f>HYPERLINK("https://youtu.be/byiqfAmOok0?t=886","channel 2")</f>
        <v>channel 2</v>
      </c>
    </row>
    <row r="29">
      <c r="A29" s="7"/>
      <c r="B29" s="10" t="s">
        <v>864</v>
      </c>
      <c r="C29" s="12" t="s">
        <v>868</v>
      </c>
      <c r="D29" s="10" t="s">
        <v>863</v>
      </c>
      <c r="E29" s="50" t="s">
        <v>26</v>
      </c>
    </row>
    <row r="30">
      <c r="A30" s="7"/>
      <c r="B30" s="10" t="s">
        <v>862</v>
      </c>
      <c r="C30" s="12" t="s">
        <v>157</v>
      </c>
      <c r="D30" s="10" t="s">
        <v>860</v>
      </c>
      <c r="E30" s="13" t="str">
        <f>HYPERLINK("https://youtu.be/byiqfAmOok0?t=2057","channel 2")</f>
        <v>channel 2</v>
      </c>
    </row>
    <row r="31">
      <c r="A31" s="7"/>
      <c r="B31" s="10" t="s">
        <v>864</v>
      </c>
      <c r="C31" s="12" t="s">
        <v>37</v>
      </c>
      <c r="D31" s="10" t="s">
        <v>861</v>
      </c>
      <c r="E31" s="50" t="s">
        <v>26</v>
      </c>
    </row>
    <row r="32">
      <c r="A32" s="7"/>
      <c r="B32" s="10" t="s">
        <v>863</v>
      </c>
      <c r="C32" s="12" t="s">
        <v>138</v>
      </c>
      <c r="D32" s="10" t="s">
        <v>860</v>
      </c>
      <c r="E32" s="13" t="str">
        <f>HYPERLINK("https://youtu.be/byiqfAmOok0?t=3360","channel 2")</f>
        <v>channel 2</v>
      </c>
    </row>
    <row r="33">
      <c r="A33" s="7"/>
      <c r="B33" s="10" t="s">
        <v>864</v>
      </c>
      <c r="C33" s="12" t="s">
        <v>85</v>
      </c>
      <c r="D33" s="10" t="s">
        <v>862</v>
      </c>
      <c r="E33" s="50" t="s">
        <v>26</v>
      </c>
    </row>
    <row r="34">
      <c r="A34" s="7"/>
      <c r="B34" s="10" t="s">
        <v>863</v>
      </c>
      <c r="C34" s="12" t="s">
        <v>111</v>
      </c>
      <c r="D34" s="10" t="s">
        <v>861</v>
      </c>
      <c r="E34" s="13" t="str">
        <f>HYPERLINK("https://youtu.be/byiqfAmOok0?t=4300","channel 2")</f>
        <v>channel 2</v>
      </c>
    </row>
    <row r="35">
      <c r="A35" s="7"/>
      <c r="B35" s="10" t="s">
        <v>861</v>
      </c>
      <c r="C35" s="12" t="s">
        <v>47</v>
      </c>
      <c r="D35" s="10" t="s">
        <v>860</v>
      </c>
      <c r="E35" s="50" t="s">
        <v>26</v>
      </c>
    </row>
    <row r="36">
      <c r="A36" s="7"/>
      <c r="B36" s="10" t="s">
        <v>863</v>
      </c>
      <c r="C36" s="12" t="s">
        <v>85</v>
      </c>
      <c r="D36" s="10" t="s">
        <v>862</v>
      </c>
      <c r="E36" s="13" t="str">
        <f>HYPERLINK("https://youtu.be/byiqfAmOok0?t=5348","channel 2")</f>
        <v>channel 2</v>
      </c>
    </row>
    <row r="37">
      <c r="A37" s="7"/>
      <c r="B37" s="10" t="s">
        <v>860</v>
      </c>
      <c r="C37" s="12" t="s">
        <v>212</v>
      </c>
      <c r="D37" s="10" t="s">
        <v>864</v>
      </c>
      <c r="E37" s="50" t="s">
        <v>26</v>
      </c>
    </row>
    <row r="38">
      <c r="A38" s="7"/>
      <c r="B38" s="10" t="s">
        <v>861</v>
      </c>
      <c r="C38" s="12" t="s">
        <v>42</v>
      </c>
      <c r="D38" s="10" t="s">
        <v>862</v>
      </c>
      <c r="E38" s="13" t="str">
        <f>HYPERLINK("https://youtu.be/byiqfAmOok0?t=6212","channel 2")</f>
        <v>channel 2</v>
      </c>
    </row>
    <row r="39">
      <c r="A39" s="7"/>
      <c r="B39" s="10" t="s">
        <v>863</v>
      </c>
      <c r="C39" s="18" t="s">
        <v>109</v>
      </c>
      <c r="D39" s="10" t="s">
        <v>864</v>
      </c>
      <c r="E39" s="50" t="s">
        <v>26</v>
      </c>
    </row>
    <row r="40">
      <c r="A40" s="7"/>
      <c r="B40" s="10" t="s">
        <v>860</v>
      </c>
      <c r="C40" s="12" t="s">
        <v>142</v>
      </c>
      <c r="D40" s="10" t="s">
        <v>862</v>
      </c>
      <c r="E40" s="13" t="str">
        <f>HYPERLINK("https://youtu.be/byiqfAmOok0?t=7224","channel 2")</f>
        <v>channel 2</v>
      </c>
    </row>
    <row r="41">
      <c r="A41" s="7"/>
      <c r="B41" s="10" t="s">
        <v>861</v>
      </c>
      <c r="C41" s="12" t="s">
        <v>145</v>
      </c>
      <c r="D41" s="10" t="s">
        <v>864</v>
      </c>
      <c r="E41" s="50" t="s">
        <v>26</v>
      </c>
    </row>
    <row r="42">
      <c r="A42" s="7"/>
      <c r="B42" s="10" t="s">
        <v>860</v>
      </c>
      <c r="C42" s="12" t="s">
        <v>322</v>
      </c>
      <c r="D42" s="10" t="s">
        <v>863</v>
      </c>
      <c r="E42" s="13" t="str">
        <f>HYPERLINK("https://youtu.be/byiqfAmOok0?t=8145","channel 2")</f>
        <v>channel 2</v>
      </c>
    </row>
    <row r="43">
      <c r="A43" s="7"/>
      <c r="B43" s="10" t="s">
        <v>862</v>
      </c>
      <c r="C43" s="12" t="s">
        <v>97</v>
      </c>
      <c r="D43" s="10" t="s">
        <v>864</v>
      </c>
      <c r="E43" s="50" t="s">
        <v>26</v>
      </c>
    </row>
    <row r="44">
      <c r="A44" s="7"/>
      <c r="B44" s="10" t="s">
        <v>861</v>
      </c>
      <c r="C44" s="12" t="s">
        <v>104</v>
      </c>
      <c r="D44" s="10" t="s">
        <v>863</v>
      </c>
      <c r="E44" s="13" t="str">
        <f>HYPERLINK("https://youtu.be/byiqfAmOok0?t=9020","channel 2")</f>
        <v>channel 2</v>
      </c>
    </row>
    <row r="45">
      <c r="A45" s="7"/>
      <c r="B45" s="2" t="s">
        <v>112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10" t="s">
        <v>873</v>
      </c>
      <c r="C47" s="12" t="s">
        <v>34</v>
      </c>
      <c r="D47" s="10" t="s">
        <v>220</v>
      </c>
      <c r="E47" s="36" t="str">
        <f>HYPERLINK("https://youtu.be/M6eDT0-v0rI","channel 1")</f>
        <v>channel 1</v>
      </c>
    </row>
    <row r="48">
      <c r="A48" s="7"/>
      <c r="B48" s="10" t="s">
        <v>874</v>
      </c>
      <c r="C48" s="12" t="s">
        <v>104</v>
      </c>
      <c r="D48" s="10" t="s">
        <v>875</v>
      </c>
      <c r="E48" s="13" t="str">
        <f>HYPERLINK("https://youtu.be/xOP7U0urNrQ","channel 2")</f>
        <v>channel 2</v>
      </c>
    </row>
    <row r="49">
      <c r="A49" s="7"/>
      <c r="B49" s="10" t="s">
        <v>587</v>
      </c>
      <c r="C49" s="12" t="s">
        <v>47</v>
      </c>
      <c r="D49" s="10" t="s">
        <v>873</v>
      </c>
      <c r="E49" s="36" t="str">
        <f>HYPERLINK("https://youtu.be/M6eDT0-v0rI?t=985","channel 1")</f>
        <v>channel 1</v>
      </c>
    </row>
    <row r="50">
      <c r="A50" s="7"/>
      <c r="B50" s="10" t="s">
        <v>874</v>
      </c>
      <c r="C50" s="12" t="s">
        <v>82</v>
      </c>
      <c r="D50" s="10" t="s">
        <v>220</v>
      </c>
      <c r="E50" s="13" t="str">
        <f>HYPERLINK("https://youtu.be/xOP7U0urNrQ?t=1011","channel 2")</f>
        <v>channel 2</v>
      </c>
    </row>
    <row r="51">
      <c r="A51" s="7"/>
      <c r="B51" s="10" t="s">
        <v>587</v>
      </c>
      <c r="C51" s="12" t="s">
        <v>90</v>
      </c>
      <c r="D51" s="10" t="s">
        <v>875</v>
      </c>
      <c r="E51" s="36" t="str">
        <f>HYPERLINK("https://youtu.be/M6eDT0-v0rI?t=1949","channel 1")</f>
        <v>channel 1</v>
      </c>
    </row>
    <row r="52">
      <c r="A52" s="7"/>
      <c r="B52" s="10" t="s">
        <v>874</v>
      </c>
      <c r="C52" s="12" t="s">
        <v>10</v>
      </c>
      <c r="D52" s="10" t="s">
        <v>873</v>
      </c>
      <c r="E52" s="13" t="str">
        <f>HYPERLINK("https://youtu.be/xOP7U0urNrQ?t=1945","channel 2")</f>
        <v>channel 2</v>
      </c>
    </row>
    <row r="53">
      <c r="A53" s="7"/>
      <c r="B53" s="10" t="s">
        <v>587</v>
      </c>
      <c r="C53" s="12" t="s">
        <v>141</v>
      </c>
      <c r="D53" s="10" t="s">
        <v>220</v>
      </c>
      <c r="E53" s="36" t="str">
        <f>HYPERLINK("https://youtu.be/M6eDT0-v0rI?t=2962","channel 1")</f>
        <v>channel 1</v>
      </c>
    </row>
    <row r="54">
      <c r="A54" s="7"/>
      <c r="B54" s="10" t="s">
        <v>875</v>
      </c>
      <c r="C54" s="12" t="s">
        <v>876</v>
      </c>
      <c r="D54" s="10" t="s">
        <v>873</v>
      </c>
      <c r="E54" s="13" t="str">
        <f>HYPERLINK("https://youtu.be/xOP7U0urNrQ?t=2895","channel 2")</f>
        <v>channel 2</v>
      </c>
    </row>
    <row r="55">
      <c r="A55" s="7"/>
      <c r="B55" s="10" t="s">
        <v>587</v>
      </c>
      <c r="C55" s="12" t="s">
        <v>90</v>
      </c>
      <c r="D55" s="10" t="s">
        <v>874</v>
      </c>
      <c r="E55" s="36" t="str">
        <f>HYPERLINK("https://youtu.be/M6eDT0-v0rI?t=3922","channel 1")</f>
        <v>channel 1</v>
      </c>
    </row>
    <row r="56">
      <c r="A56" s="7"/>
      <c r="B56" s="10" t="s">
        <v>875</v>
      </c>
      <c r="C56" s="12" t="s">
        <v>268</v>
      </c>
      <c r="D56" s="10" t="s">
        <v>220</v>
      </c>
      <c r="E56" s="13" t="str">
        <f>HYPERLINK("https://youtu.be/xOP7U0urNrQ?t=3933","channel 2")</f>
        <v>channel 2</v>
      </c>
    </row>
    <row r="57">
      <c r="A57" s="7"/>
      <c r="B57" s="10" t="s">
        <v>220</v>
      </c>
      <c r="C57" s="12" t="s">
        <v>127</v>
      </c>
      <c r="D57" s="10" t="s">
        <v>873</v>
      </c>
      <c r="E57" s="36" t="str">
        <f>HYPERLINK("https://youtu.be/M6eDT0-v0rI?t=4859","channel 1")</f>
        <v>channel 1</v>
      </c>
    </row>
    <row r="58">
      <c r="A58" s="7"/>
      <c r="B58" s="10" t="s">
        <v>875</v>
      </c>
      <c r="C58" s="12" t="s">
        <v>226</v>
      </c>
      <c r="D58" s="10" t="s">
        <v>874</v>
      </c>
      <c r="E58" s="13" t="str">
        <f>HYPERLINK("https://youtu.be/xOP7U0urNrQ?t=4879","channel 2")</f>
        <v>channel 2</v>
      </c>
    </row>
    <row r="59">
      <c r="A59" s="7"/>
      <c r="B59" s="10" t="s">
        <v>873</v>
      </c>
      <c r="C59" s="12" t="s">
        <v>93</v>
      </c>
      <c r="D59" s="10" t="s">
        <v>587</v>
      </c>
      <c r="E59" s="36" t="str">
        <f>HYPERLINK("https://youtu.be/M6eDT0-v0rI?t=5796","channel 1")</f>
        <v>channel 1</v>
      </c>
    </row>
    <row r="60">
      <c r="A60" s="7"/>
      <c r="B60" s="10" t="s">
        <v>220</v>
      </c>
      <c r="C60" s="12" t="s">
        <v>160</v>
      </c>
      <c r="D60" s="10" t="s">
        <v>874</v>
      </c>
      <c r="E60" s="13" t="str">
        <f>HYPERLINK("https://youtu.be/xOP7U0urNrQ?t=5791","channel 2")</f>
        <v>channel 2</v>
      </c>
    </row>
    <row r="61">
      <c r="A61" s="7"/>
      <c r="B61" s="10" t="s">
        <v>875</v>
      </c>
      <c r="C61" s="12" t="s">
        <v>883</v>
      </c>
      <c r="D61" s="10" t="s">
        <v>587</v>
      </c>
      <c r="E61" s="36" t="str">
        <f>HYPERLINK("https://youtu.be/M6eDT0-v0rI?t=6711","channel 1")</f>
        <v>channel 1</v>
      </c>
    </row>
    <row r="62">
      <c r="A62" s="7"/>
      <c r="B62" s="10" t="s">
        <v>873</v>
      </c>
      <c r="C62" s="12" t="s">
        <v>46</v>
      </c>
      <c r="D62" s="10" t="s">
        <v>874</v>
      </c>
      <c r="E62" s="13" t="str">
        <f>HYPERLINK("https://youtu.be/xOP7U0urNrQ?t=6707","channel 2")</f>
        <v>channel 2</v>
      </c>
    </row>
    <row r="63">
      <c r="A63" s="7"/>
      <c r="B63" s="10" t="s">
        <v>220</v>
      </c>
      <c r="C63" s="12" t="s">
        <v>759</v>
      </c>
      <c r="D63" s="10" t="s">
        <v>587</v>
      </c>
      <c r="E63" s="36" t="str">
        <f>HYPERLINK("https://youtu.be/M6eDT0-v0rI?t=7890","channel 1")</f>
        <v>channel 1</v>
      </c>
    </row>
    <row r="64">
      <c r="A64" s="7"/>
      <c r="B64" s="10" t="s">
        <v>873</v>
      </c>
      <c r="C64" s="12" t="s">
        <v>109</v>
      </c>
      <c r="D64" s="10" t="s">
        <v>875</v>
      </c>
      <c r="E64" s="13" t="str">
        <f>HYPERLINK("https://youtu.be/xOP7U0urNrQ?t=7769","channel 2")</f>
        <v>channel 2</v>
      </c>
    </row>
    <row r="65">
      <c r="A65" s="7"/>
      <c r="B65" s="10" t="s">
        <v>874</v>
      </c>
      <c r="C65" s="12" t="s">
        <v>34</v>
      </c>
      <c r="D65" s="10" t="s">
        <v>587</v>
      </c>
      <c r="E65" s="36" t="str">
        <f>HYPERLINK("https://youtu.be/M6eDT0-v0rI?t=9809","channel 1")</f>
        <v>channel 1</v>
      </c>
    </row>
    <row r="66">
      <c r="A66" s="7"/>
      <c r="B66" s="10" t="s">
        <v>220</v>
      </c>
      <c r="C66" s="22" t="s">
        <v>58</v>
      </c>
      <c r="D66" s="10" t="s">
        <v>875</v>
      </c>
      <c r="E66" s="23" t="s">
        <v>28</v>
      </c>
    </row>
    <row r="67">
      <c r="A67" s="7"/>
      <c r="B67" s="4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10" t="s">
        <v>50</v>
      </c>
      <c r="C69" s="12" t="s">
        <v>97</v>
      </c>
      <c r="D69" s="10" t="s">
        <v>885</v>
      </c>
      <c r="E69" s="36" t="str">
        <f>HYPERLINK("https://youtu.be/r5rxQD995ik","channel 1")</f>
        <v>channel 1</v>
      </c>
    </row>
    <row r="70">
      <c r="A70" s="7"/>
      <c r="B70" s="10" t="s">
        <v>888</v>
      </c>
      <c r="C70" s="12" t="s">
        <v>890</v>
      </c>
      <c r="D70" s="10" t="s">
        <v>891</v>
      </c>
      <c r="E70" s="13" t="str">
        <f>HYPERLINK("https://youtu.be/3-s8Q5LsSJA","channel 2")</f>
        <v>channel 2</v>
      </c>
    </row>
    <row r="71">
      <c r="A71" s="7"/>
      <c r="B71" s="10" t="s">
        <v>679</v>
      </c>
      <c r="C71" s="12" t="s">
        <v>34</v>
      </c>
      <c r="D71" s="10" t="s">
        <v>50</v>
      </c>
      <c r="E71" s="36" t="str">
        <f>HYPERLINK("https://youtu.be/r5rxQD995ik?t=1011","channel 1")</f>
        <v>channel 1</v>
      </c>
    </row>
    <row r="72">
      <c r="A72" s="7"/>
      <c r="B72" s="10" t="s">
        <v>888</v>
      </c>
      <c r="C72" s="12" t="s">
        <v>894</v>
      </c>
      <c r="D72" s="10" t="s">
        <v>885</v>
      </c>
      <c r="E72" s="13" t="str">
        <f>HYPERLINK("https://youtu.be/3-s8Q5LsSJA?t=882","channel 2")</f>
        <v>channel 2</v>
      </c>
    </row>
    <row r="73">
      <c r="A73" s="7"/>
      <c r="B73" s="10" t="s">
        <v>679</v>
      </c>
      <c r="C73" s="12" t="s">
        <v>143</v>
      </c>
      <c r="D73" s="10" t="s">
        <v>891</v>
      </c>
      <c r="E73" s="36" t="str">
        <f>HYPERLINK("https://youtu.be/r5rxQD995ik?t=1927","channel 1")</f>
        <v>channel 1</v>
      </c>
    </row>
    <row r="74">
      <c r="A74" s="7"/>
      <c r="B74" s="10" t="s">
        <v>888</v>
      </c>
      <c r="C74" s="12" t="s">
        <v>216</v>
      </c>
      <c r="D74" s="10" t="s">
        <v>50</v>
      </c>
      <c r="E74" s="13" t="str">
        <f>HYPERLINK("https://youtu.be/3-s8Q5LsSJA?t=2180","channel 2")</f>
        <v>channel 2</v>
      </c>
    </row>
    <row r="75">
      <c r="A75" s="7"/>
      <c r="B75" s="10" t="s">
        <v>679</v>
      </c>
      <c r="C75" s="12" t="s">
        <v>87</v>
      </c>
      <c r="D75" s="10" t="s">
        <v>885</v>
      </c>
      <c r="E75" s="36" t="str">
        <f>HYPERLINK("https://youtu.be/r5rxQD995ik?t=2938","channel 1")</f>
        <v>channel 1</v>
      </c>
    </row>
    <row r="76">
      <c r="A76" s="7"/>
      <c r="B76" s="10" t="s">
        <v>891</v>
      </c>
      <c r="C76" s="12" t="s">
        <v>506</v>
      </c>
      <c r="D76" s="10" t="s">
        <v>50</v>
      </c>
      <c r="E76" s="13" t="str">
        <f>HYPERLINK("https://youtu.be/3-s8Q5LsSJA?t=3102","channel 2")</f>
        <v>channel 2</v>
      </c>
    </row>
    <row r="77">
      <c r="A77" s="7"/>
      <c r="B77" s="10" t="s">
        <v>679</v>
      </c>
      <c r="C77" s="12" t="s">
        <v>117</v>
      </c>
      <c r="D77" s="10" t="s">
        <v>888</v>
      </c>
      <c r="E77" s="36" t="str">
        <f>HYPERLINK("https://youtu.be/r5rxQD995ik?t=3912","channel 1")</f>
        <v>channel 1</v>
      </c>
    </row>
    <row r="78">
      <c r="A78" s="7"/>
      <c r="B78" s="10" t="s">
        <v>891</v>
      </c>
      <c r="C78" s="12" t="s">
        <v>223</v>
      </c>
      <c r="D78" s="10" t="s">
        <v>885</v>
      </c>
      <c r="E78" s="13" t="str">
        <f>HYPERLINK("https://youtu.be/3-s8Q5LsSJA?t=3954","channel 2")</f>
        <v>channel 2</v>
      </c>
    </row>
    <row r="79">
      <c r="A79" s="7"/>
      <c r="B79" s="10" t="s">
        <v>885</v>
      </c>
      <c r="C79" s="12" t="s">
        <v>57</v>
      </c>
      <c r="D79" s="10" t="s">
        <v>50</v>
      </c>
      <c r="E79" s="36" t="str">
        <f>HYPERLINK("https://youtu.be/r5rxQD995ik?t=4876","channel 1")</f>
        <v>channel 1</v>
      </c>
    </row>
    <row r="80">
      <c r="A80" s="7"/>
      <c r="B80" s="10" t="s">
        <v>891</v>
      </c>
      <c r="C80" s="12" t="s">
        <v>832</v>
      </c>
      <c r="D80" s="10" t="s">
        <v>888</v>
      </c>
      <c r="E80" s="13" t="str">
        <f>HYPERLINK("https://youtu.be/3-s8Q5LsSJA?t=4806","channel 2")</f>
        <v>channel 2</v>
      </c>
    </row>
    <row r="81">
      <c r="A81" s="7"/>
      <c r="B81" s="10" t="s">
        <v>50</v>
      </c>
      <c r="C81" s="12" t="s">
        <v>93</v>
      </c>
      <c r="D81" s="10" t="s">
        <v>679</v>
      </c>
      <c r="E81" s="36" t="str">
        <f>HYPERLINK("https://youtu.be/r5rxQD995ik?t=5820","channel 1")</f>
        <v>channel 1</v>
      </c>
    </row>
    <row r="82">
      <c r="A82" s="7"/>
      <c r="B82" s="10" t="s">
        <v>885</v>
      </c>
      <c r="C82" s="12" t="s">
        <v>108</v>
      </c>
      <c r="D82" s="10" t="s">
        <v>888</v>
      </c>
      <c r="E82" s="13" t="str">
        <f>HYPERLINK("https://youtu.be/3-s8Q5LsSJA?t=5699","channel 2")</f>
        <v>channel 2</v>
      </c>
    </row>
    <row r="83">
      <c r="A83" s="7"/>
      <c r="B83" s="10" t="s">
        <v>891</v>
      </c>
      <c r="C83" s="12" t="s">
        <v>40</v>
      </c>
      <c r="D83" s="10" t="s">
        <v>679</v>
      </c>
      <c r="E83" s="36" t="str">
        <f>HYPERLINK("https://youtu.be/r5rxQD995ik?t=6747","channel 1")</f>
        <v>channel 1</v>
      </c>
    </row>
    <row r="84">
      <c r="A84" s="7"/>
      <c r="B84" s="10" t="s">
        <v>50</v>
      </c>
      <c r="C84" s="12" t="s">
        <v>59</v>
      </c>
      <c r="D84" s="10" t="s">
        <v>888</v>
      </c>
      <c r="E84" s="13" t="str">
        <f>HYPERLINK("https://youtu.be/3-s8Q5LsSJA?t=6628","channel 2")</f>
        <v>channel 2</v>
      </c>
    </row>
    <row r="85">
      <c r="A85" s="7"/>
      <c r="B85" s="10" t="s">
        <v>885</v>
      </c>
      <c r="C85" s="12" t="s">
        <v>132</v>
      </c>
      <c r="D85" s="10" t="s">
        <v>679</v>
      </c>
      <c r="E85" s="36" t="str">
        <f>HYPERLINK("https://youtu.be/r5rxQD995ik?t=7691","channel 1")</f>
        <v>channel 1</v>
      </c>
    </row>
    <row r="86">
      <c r="A86" s="7"/>
      <c r="B86" s="10" t="s">
        <v>50</v>
      </c>
      <c r="C86" s="12" t="s">
        <v>77</v>
      </c>
      <c r="D86" s="10" t="s">
        <v>891</v>
      </c>
      <c r="E86" s="13" t="str">
        <f>HYPERLINK("https://youtu.be/3-s8Q5LsSJA?t=7525","channel 2")</f>
        <v>channel 2</v>
      </c>
    </row>
    <row r="87">
      <c r="A87" s="7"/>
      <c r="B87" s="10" t="s">
        <v>888</v>
      </c>
      <c r="C87" s="12" t="s">
        <v>143</v>
      </c>
      <c r="D87" s="10" t="s">
        <v>679</v>
      </c>
      <c r="E87" s="36" t="str">
        <f>HYPERLINK("https://youtu.be/r5rxQD995ik?t=8624","channel 1")</f>
        <v>channel 1</v>
      </c>
    </row>
    <row r="88">
      <c r="A88" s="7"/>
      <c r="B88" s="10" t="s">
        <v>885</v>
      </c>
      <c r="C88" s="12" t="s">
        <v>45</v>
      </c>
      <c r="D88" s="10" t="s">
        <v>891</v>
      </c>
      <c r="E88" s="13" t="str">
        <f>HYPERLINK("https://youtu.be/3-s8Q5LsSJA?t=8500","channel 2")</f>
        <v>channel 2</v>
      </c>
    </row>
    <row r="89">
      <c r="A89" s="7"/>
      <c r="B89" s="2" t="s">
        <v>510</v>
      </c>
      <c r="C89" s="3"/>
      <c r="D89" s="4"/>
      <c r="E89" s="43"/>
    </row>
    <row r="90">
      <c r="A90" s="7"/>
      <c r="B90" s="18" t="s">
        <v>3</v>
      </c>
      <c r="C90" s="18" t="s">
        <v>4</v>
      </c>
      <c r="D90" s="18" t="s">
        <v>5</v>
      </c>
      <c r="E90" s="8" t="s">
        <v>6</v>
      </c>
    </row>
    <row r="91">
      <c r="A91" s="7"/>
      <c r="B91" s="10" t="s">
        <v>282</v>
      </c>
      <c r="C91" s="12" t="s">
        <v>214</v>
      </c>
      <c r="D91" s="10" t="s">
        <v>902</v>
      </c>
      <c r="E91" s="36" t="str">
        <f>HYPERLINK("https://youtu.be/CgbZAvumsL4","channel 1")</f>
        <v>channel 1</v>
      </c>
    </row>
    <row r="92">
      <c r="A92" s="7"/>
      <c r="B92" s="10" t="s">
        <v>904</v>
      </c>
      <c r="C92" s="12" t="s">
        <v>905</v>
      </c>
      <c r="D92" s="28" t="s">
        <v>907</v>
      </c>
      <c r="E92" s="13" t="str">
        <f>HYPERLINK("https://youtu.be/tOi1WD3eu94","channel 2")</f>
        <v>channel 2</v>
      </c>
    </row>
    <row r="93">
      <c r="A93" s="7"/>
      <c r="B93" s="10" t="s">
        <v>909</v>
      </c>
      <c r="C93" s="12" t="s">
        <v>77</v>
      </c>
      <c r="D93" s="10" t="s">
        <v>282</v>
      </c>
      <c r="E93" s="36" t="str">
        <f>HYPERLINK("https://youtu.be/CgbZAvumsL4?t=919","channel 1")</f>
        <v>channel 1</v>
      </c>
    </row>
    <row r="94">
      <c r="A94" s="7"/>
      <c r="B94" s="10" t="s">
        <v>904</v>
      </c>
      <c r="C94" s="12" t="s">
        <v>216</v>
      </c>
      <c r="D94" s="10" t="s">
        <v>902</v>
      </c>
      <c r="E94" s="13" t="str">
        <f>HYPERLINK("https://youtu.be/tOi1WD3eu94?t=952","channel 2")</f>
        <v>channel 2</v>
      </c>
    </row>
    <row r="95">
      <c r="A95" s="7"/>
      <c r="B95" s="10" t="s">
        <v>909</v>
      </c>
      <c r="C95" s="12" t="s">
        <v>44</v>
      </c>
      <c r="D95" s="28" t="s">
        <v>907</v>
      </c>
      <c r="E95" s="36" t="str">
        <f>HYPERLINK("https://youtu.be/CgbZAvumsL4?t=1859","channel 1")</f>
        <v>channel 1</v>
      </c>
    </row>
    <row r="96">
      <c r="A96" s="7"/>
      <c r="B96" s="10" t="s">
        <v>904</v>
      </c>
      <c r="C96" s="12" t="s">
        <v>436</v>
      </c>
      <c r="D96" s="10" t="s">
        <v>282</v>
      </c>
      <c r="E96" s="13" t="str">
        <f>HYPERLINK("https://youtu.be/tOi1WD3eu94?t=1950","channel 2")</f>
        <v>channel 2</v>
      </c>
    </row>
    <row r="97">
      <c r="A97" s="7"/>
      <c r="B97" s="10" t="s">
        <v>909</v>
      </c>
      <c r="C97" s="12" t="s">
        <v>436</v>
      </c>
      <c r="D97" s="10" t="s">
        <v>902</v>
      </c>
      <c r="E97" s="36" t="str">
        <f>HYPERLINK("https://youtu.be/CgbZAvumsL4?t=2690","channel 1")</f>
        <v>channel 1</v>
      </c>
    </row>
    <row r="98">
      <c r="A98" s="7"/>
      <c r="B98" s="28" t="s">
        <v>907</v>
      </c>
      <c r="C98" s="12" t="s">
        <v>214</v>
      </c>
      <c r="D98" s="10" t="s">
        <v>282</v>
      </c>
      <c r="E98" s="13" t="str">
        <f>HYPERLINK("https://youtu.be/tOi1WD3eu94?t=2865","channel 2")</f>
        <v>channel 2</v>
      </c>
    </row>
    <row r="99">
      <c r="A99" s="7"/>
      <c r="B99" s="10" t="s">
        <v>909</v>
      </c>
      <c r="C99" s="12" t="s">
        <v>97</v>
      </c>
      <c r="D99" s="10" t="s">
        <v>904</v>
      </c>
      <c r="E99" s="36" t="str">
        <f>HYPERLINK("https://youtu.be/CgbZAvumsL4?t=3576","channel 1")</f>
        <v>channel 1</v>
      </c>
    </row>
    <row r="100">
      <c r="A100" s="7"/>
      <c r="B100" s="28" t="s">
        <v>907</v>
      </c>
      <c r="C100" s="12" t="s">
        <v>34</v>
      </c>
      <c r="D100" s="10" t="s">
        <v>902</v>
      </c>
      <c r="E100" s="13" t="str">
        <f>HYPERLINK("https://youtu.be/tOi1WD3eu94?t=3726","channel 2")</f>
        <v>channel 2</v>
      </c>
    </row>
    <row r="101">
      <c r="A101" s="7"/>
      <c r="B101" s="10" t="s">
        <v>902</v>
      </c>
      <c r="C101" s="12" t="s">
        <v>912</v>
      </c>
      <c r="D101" s="10" t="s">
        <v>282</v>
      </c>
      <c r="E101" s="36" t="str">
        <f>HYPERLINK("https://youtu.be/CgbZAvumsL4?t=4466","channel 1")</f>
        <v>channel 1</v>
      </c>
    </row>
    <row r="102">
      <c r="A102" s="7"/>
      <c r="B102" s="28" t="s">
        <v>907</v>
      </c>
      <c r="C102" s="12" t="s">
        <v>38</v>
      </c>
      <c r="D102" s="10" t="s">
        <v>904</v>
      </c>
      <c r="E102" s="13" t="str">
        <f>HYPERLINK("https://youtu.be/tOi1WD3eu94?t=4589","channel 2")</f>
        <v>channel 2</v>
      </c>
    </row>
    <row r="103">
      <c r="A103" s="7"/>
      <c r="B103" s="10" t="s">
        <v>282</v>
      </c>
      <c r="C103" s="12" t="s">
        <v>103</v>
      </c>
      <c r="D103" s="10" t="s">
        <v>909</v>
      </c>
      <c r="E103" s="36" t="str">
        <f>HYPERLINK("https://youtu.be/CgbZAvumsL4?t=5362","channel 1")</f>
        <v>channel 1</v>
      </c>
    </row>
    <row r="104">
      <c r="A104" s="7"/>
      <c r="B104" s="10" t="s">
        <v>902</v>
      </c>
      <c r="C104" s="12" t="s">
        <v>77</v>
      </c>
      <c r="D104" s="10" t="s">
        <v>904</v>
      </c>
      <c r="E104" s="13" t="str">
        <f>HYPERLINK("https://youtu.be/tOi1WD3eu94?t=5490","channel 2")</f>
        <v>channel 2</v>
      </c>
    </row>
    <row r="105">
      <c r="A105" s="7"/>
      <c r="B105" s="28" t="s">
        <v>907</v>
      </c>
      <c r="C105" s="12" t="s">
        <v>887</v>
      </c>
      <c r="D105" s="10" t="s">
        <v>909</v>
      </c>
      <c r="E105" s="36" t="str">
        <f>HYPERLINK("https://youtu.be/CgbZAvumsL4?t=6281","channel 1")</f>
        <v>channel 1</v>
      </c>
    </row>
    <row r="106">
      <c r="A106" s="7"/>
      <c r="B106" s="10" t="s">
        <v>282</v>
      </c>
      <c r="C106" s="12" t="s">
        <v>452</v>
      </c>
      <c r="D106" s="10" t="s">
        <v>904</v>
      </c>
      <c r="E106" s="13" t="str">
        <f>HYPERLINK("https://youtu.be/tOi1WD3eu94?t=6409","channel 2")</f>
        <v>channel 2</v>
      </c>
    </row>
    <row r="107">
      <c r="A107" s="7"/>
      <c r="B107" s="10" t="s">
        <v>902</v>
      </c>
      <c r="C107" s="12" t="s">
        <v>919</v>
      </c>
      <c r="D107" s="10" t="s">
        <v>909</v>
      </c>
      <c r="E107" s="36" t="str">
        <f>HYPERLINK("https://youtu.be/CgbZAvumsL4?t=7142","channel 1")</f>
        <v>channel 1</v>
      </c>
    </row>
    <row r="108">
      <c r="A108" s="7"/>
      <c r="B108" s="10" t="s">
        <v>282</v>
      </c>
      <c r="C108" s="12" t="s">
        <v>24</v>
      </c>
      <c r="D108" s="28" t="s">
        <v>907</v>
      </c>
      <c r="E108" s="13" t="str">
        <f>HYPERLINK("https://youtu.be/tOi1WD3eu94?t=7279","channel 2")</f>
        <v>channel 2</v>
      </c>
    </row>
    <row r="109">
      <c r="A109" s="7"/>
      <c r="B109" s="10" t="s">
        <v>904</v>
      </c>
      <c r="C109" s="12" t="s">
        <v>141</v>
      </c>
      <c r="D109" s="10" t="s">
        <v>909</v>
      </c>
      <c r="E109" s="36" t="str">
        <f>HYPERLINK("https://youtu.be/CgbZAvumsL4?t=8038","channel 1")</f>
        <v>channel 1</v>
      </c>
    </row>
    <row r="110">
      <c r="A110" s="7"/>
      <c r="B110" s="10" t="s">
        <v>902</v>
      </c>
      <c r="C110" s="12" t="s">
        <v>216</v>
      </c>
      <c r="D110" s="28" t="s">
        <v>907</v>
      </c>
      <c r="E110" s="13" t="str">
        <f>HYPERLINK("https://youtu.be/tOi1WD3eu94?t=8113","channel 2")</f>
        <v>channel 2</v>
      </c>
    </row>
    <row r="111">
      <c r="A111" s="7"/>
      <c r="B111" s="2" t="s">
        <v>920</v>
      </c>
      <c r="C111" s="3"/>
      <c r="D111" s="4"/>
      <c r="E111" s="43"/>
    </row>
    <row r="112">
      <c r="A112" s="7"/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A113" s="7"/>
      <c r="B113" s="10" t="s">
        <v>921</v>
      </c>
      <c r="C113" s="12" t="s">
        <v>922</v>
      </c>
      <c r="D113" s="10" t="s">
        <v>923</v>
      </c>
      <c r="E113" s="36" t="str">
        <f>HYPERLINK("https://youtu.be/qx-fsYvoA-Y","channel 1")</f>
        <v>channel 1</v>
      </c>
    </row>
    <row r="114">
      <c r="A114" s="7"/>
      <c r="B114" s="10" t="s">
        <v>925</v>
      </c>
      <c r="C114" s="12" t="s">
        <v>77</v>
      </c>
      <c r="D114" s="28" t="s">
        <v>926</v>
      </c>
      <c r="E114" s="13" t="str">
        <f>HYPERLINK("https://youtu.be/B-owgcf1eNM","channel 2")</f>
        <v>channel 2</v>
      </c>
    </row>
    <row r="115">
      <c r="A115" s="7"/>
      <c r="B115" s="10" t="s">
        <v>929</v>
      </c>
      <c r="C115" s="12" t="s">
        <v>146</v>
      </c>
      <c r="D115" s="10" t="s">
        <v>921</v>
      </c>
      <c r="E115" s="36" t="str">
        <f>HYPERLINK("https://youtu.be/qx-fsYvoA-Y?t=998","channel 1")</f>
        <v>channel 1</v>
      </c>
    </row>
    <row r="116">
      <c r="A116" s="7"/>
      <c r="B116" s="10" t="s">
        <v>925</v>
      </c>
      <c r="C116" s="12" t="s">
        <v>55</v>
      </c>
      <c r="D116" s="10" t="s">
        <v>923</v>
      </c>
      <c r="E116" s="13" t="str">
        <f>HYPERLINK("https://youtu.be/B-owgcf1eNM?t=994","channel 2")</f>
        <v>channel 2</v>
      </c>
    </row>
    <row r="117">
      <c r="A117" s="7"/>
      <c r="B117" s="10" t="s">
        <v>929</v>
      </c>
      <c r="C117" s="12" t="s">
        <v>212</v>
      </c>
      <c r="D117" s="28" t="s">
        <v>926</v>
      </c>
      <c r="E117" s="36" t="str">
        <f>HYPERLINK("https://youtu.be/qx-fsYvoA-Y?t=1893","channel 1")</f>
        <v>channel 1</v>
      </c>
    </row>
    <row r="118">
      <c r="A118" s="7"/>
      <c r="B118" s="10" t="s">
        <v>925</v>
      </c>
      <c r="C118" s="12" t="s">
        <v>322</v>
      </c>
      <c r="D118" s="10" t="s">
        <v>921</v>
      </c>
      <c r="E118" s="13" t="str">
        <f>HYPERLINK("https://youtu.be/B-owgcf1eNM?t=1938","channel 2")</f>
        <v>channel 2</v>
      </c>
    </row>
    <row r="119">
      <c r="A119" s="7"/>
      <c r="B119" s="10" t="s">
        <v>929</v>
      </c>
      <c r="C119" s="12" t="s">
        <v>93</v>
      </c>
      <c r="D119" s="10" t="s">
        <v>923</v>
      </c>
      <c r="E119" s="36" t="str">
        <f>HYPERLINK("https://youtu.be/qx-fsYvoA-Y?t=2751","channel 1")</f>
        <v>channel 1</v>
      </c>
    </row>
    <row r="120">
      <c r="A120" s="7"/>
      <c r="B120" s="28" t="s">
        <v>926</v>
      </c>
      <c r="C120" s="12" t="s">
        <v>59</v>
      </c>
      <c r="D120" s="10" t="s">
        <v>921</v>
      </c>
      <c r="E120" s="13" t="str">
        <f>HYPERLINK("https://youtu.be/B-owgcf1eNM?t=2797","channel 2")</f>
        <v>channel 2</v>
      </c>
    </row>
    <row r="121">
      <c r="A121" s="7"/>
      <c r="B121" s="10" t="s">
        <v>929</v>
      </c>
      <c r="C121" s="12" t="s">
        <v>46</v>
      </c>
      <c r="D121" s="10" t="s">
        <v>925</v>
      </c>
      <c r="E121" s="36" t="str">
        <f>HYPERLINK("https://youtu.be/qx-fsYvoA-Y?t=3588","channel 1")</f>
        <v>channel 1</v>
      </c>
    </row>
    <row r="122">
      <c r="A122" s="7"/>
      <c r="B122" s="28" t="s">
        <v>926</v>
      </c>
      <c r="C122" s="12" t="s">
        <v>44</v>
      </c>
      <c r="D122" s="10" t="s">
        <v>923</v>
      </c>
      <c r="E122" s="13" t="str">
        <f>HYPERLINK("https://youtu.be/B-owgcf1eNM?t=3693","channel 2")</f>
        <v>channel 2</v>
      </c>
    </row>
    <row r="123">
      <c r="A123" s="7"/>
      <c r="B123" s="10" t="s">
        <v>923</v>
      </c>
      <c r="C123" s="12" t="s">
        <v>343</v>
      </c>
      <c r="D123" s="10" t="s">
        <v>921</v>
      </c>
      <c r="E123" s="36" t="str">
        <f>HYPERLINK("https://youtu.be/qx-fsYvoA-Y?t=4499","channel 1")</f>
        <v>channel 1</v>
      </c>
    </row>
    <row r="124">
      <c r="A124" s="7"/>
      <c r="B124" s="28" t="s">
        <v>926</v>
      </c>
      <c r="C124" s="12" t="s">
        <v>42</v>
      </c>
      <c r="D124" s="10" t="s">
        <v>925</v>
      </c>
      <c r="E124" s="13" t="str">
        <f>HYPERLINK("https://youtu.be/B-owgcf1eNM?t=4549","channel 2")</f>
        <v>channel 2</v>
      </c>
    </row>
    <row r="125">
      <c r="A125" s="7"/>
      <c r="B125" s="10" t="s">
        <v>921</v>
      </c>
      <c r="C125" s="12" t="s">
        <v>309</v>
      </c>
      <c r="D125" s="10" t="s">
        <v>929</v>
      </c>
      <c r="E125" s="36" t="str">
        <f>HYPERLINK("https://youtu.be/qx-fsYvoA-Y?t=5436","channel 1")</f>
        <v>channel 1</v>
      </c>
    </row>
    <row r="126">
      <c r="A126" s="7"/>
      <c r="B126" s="10" t="s">
        <v>923</v>
      </c>
      <c r="C126" s="12" t="s">
        <v>168</v>
      </c>
      <c r="D126" s="10" t="s">
        <v>925</v>
      </c>
      <c r="E126" s="13" t="str">
        <f>HYPERLINK("https://youtu.be/B-owgcf1eNM?t=5457","channel 2")</f>
        <v>channel 2</v>
      </c>
    </row>
    <row r="127">
      <c r="A127" s="7"/>
      <c r="B127" s="28" t="s">
        <v>926</v>
      </c>
      <c r="C127" s="12" t="s">
        <v>111</v>
      </c>
      <c r="D127" s="10" t="s">
        <v>929</v>
      </c>
      <c r="E127" s="36" t="str">
        <f>HYPERLINK("https://youtu.be/qx-fsYvoA-Y?t=6289","channel 1")</f>
        <v>channel 1</v>
      </c>
    </row>
    <row r="128">
      <c r="A128" s="7"/>
      <c r="B128" s="10" t="s">
        <v>921</v>
      </c>
      <c r="C128" s="12" t="s">
        <v>124</v>
      </c>
      <c r="D128" s="10" t="s">
        <v>925</v>
      </c>
      <c r="E128" s="13" t="str">
        <f>HYPERLINK("https://youtu.be/B-owgcf1eNM?t=6330","channel 2")</f>
        <v>channel 2</v>
      </c>
    </row>
    <row r="129">
      <c r="A129" s="7"/>
      <c r="B129" s="10" t="s">
        <v>923</v>
      </c>
      <c r="C129" s="12" t="s">
        <v>180</v>
      </c>
      <c r="D129" s="10" t="s">
        <v>929</v>
      </c>
      <c r="E129" s="36" t="str">
        <f>HYPERLINK("https://youtu.be/qx-fsYvoA-Y?t=7120","channel 1")</f>
        <v>channel 1</v>
      </c>
    </row>
    <row r="130">
      <c r="A130" s="7"/>
      <c r="B130" s="10" t="s">
        <v>921</v>
      </c>
      <c r="C130" s="12" t="s">
        <v>103</v>
      </c>
      <c r="D130" s="28" t="s">
        <v>926</v>
      </c>
      <c r="E130" s="13" t="str">
        <f>HYPERLINK("https://youtu.be/B-owgcf1eNM?t=7161","channel 2")</f>
        <v>channel 2</v>
      </c>
    </row>
    <row r="131">
      <c r="A131" s="7"/>
      <c r="B131" s="10" t="s">
        <v>925</v>
      </c>
      <c r="C131" s="12" t="s">
        <v>452</v>
      </c>
      <c r="D131" s="10" t="s">
        <v>929</v>
      </c>
      <c r="E131" s="36" t="str">
        <f>HYPERLINK("https://youtu.be/qx-fsYvoA-Y?t=7935","channel 1")</f>
        <v>channel 1</v>
      </c>
    </row>
    <row r="132">
      <c r="A132" s="25"/>
      <c r="B132" s="10" t="s">
        <v>923</v>
      </c>
      <c r="C132" s="12" t="s">
        <v>384</v>
      </c>
      <c r="D132" s="28" t="s">
        <v>926</v>
      </c>
      <c r="E132" s="13" t="str">
        <f>HYPERLINK("https://youtu.be/B-owgcf1eNM?t=8074","channel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299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866</v>
      </c>
      <c r="C3" s="12" t="s">
        <v>551</v>
      </c>
      <c r="D3" s="28" t="s">
        <v>867</v>
      </c>
      <c r="E3" s="36" t="str">
        <f>HYPERLINK("https://youtu.be/pPUIydUZonE","channel 1")</f>
        <v>channel 1</v>
      </c>
    </row>
    <row r="4">
      <c r="A4" s="7"/>
      <c r="B4" s="28" t="s">
        <v>869</v>
      </c>
      <c r="C4" s="37" t="s">
        <v>538</v>
      </c>
      <c r="D4" s="28" t="s">
        <v>870</v>
      </c>
      <c r="E4" s="13" t="str">
        <f>HYPERLINK("https://youtu.be/j1zttjRVMEQ","channel 2")</f>
        <v>channel 2</v>
      </c>
    </row>
    <row r="5">
      <c r="A5" s="7"/>
      <c r="B5" s="28" t="s">
        <v>686</v>
      </c>
      <c r="C5" s="12" t="s">
        <v>85</v>
      </c>
      <c r="D5" s="28" t="s">
        <v>866</v>
      </c>
      <c r="E5" s="36" t="str">
        <f>HYPERLINK("https://youtu.be/pPUIydUZonE?t=1081","channel 1")</f>
        <v>channel 1</v>
      </c>
    </row>
    <row r="6">
      <c r="A6" s="7"/>
      <c r="B6" s="28" t="s">
        <v>869</v>
      </c>
      <c r="C6" s="12" t="s">
        <v>101</v>
      </c>
      <c r="D6" s="28" t="s">
        <v>867</v>
      </c>
      <c r="E6" s="13" t="str">
        <f>HYPERLINK("https://youtu.be/j1zttjRVMEQ?t=896","channel 2")</f>
        <v>channel 2</v>
      </c>
    </row>
    <row r="7">
      <c r="A7" s="7"/>
      <c r="B7" s="28" t="s">
        <v>686</v>
      </c>
      <c r="C7" s="12" t="s">
        <v>570</v>
      </c>
      <c r="D7" s="28" t="s">
        <v>870</v>
      </c>
      <c r="E7" s="36" t="str">
        <f>HYPERLINK("https://youtu.be/pPUIydUZonE?t=2017","channel 1")</f>
        <v>channel 1</v>
      </c>
    </row>
    <row r="8">
      <c r="A8" s="7"/>
      <c r="B8" s="28" t="s">
        <v>869</v>
      </c>
      <c r="C8" s="12" t="s">
        <v>45</v>
      </c>
      <c r="D8" s="28" t="s">
        <v>866</v>
      </c>
      <c r="E8" s="13" t="str">
        <f>HYPERLINK("https://youtu.be/j1zttjRVMEQ?t=1859","channel 2")</f>
        <v>channel 2</v>
      </c>
    </row>
    <row r="9">
      <c r="A9" s="7"/>
      <c r="B9" s="28" t="s">
        <v>686</v>
      </c>
      <c r="C9" s="12" t="s">
        <v>871</v>
      </c>
      <c r="D9" s="28" t="s">
        <v>867</v>
      </c>
      <c r="E9" s="36" t="str">
        <f>HYPERLINK("https://youtu.be/pPUIydUZonE?t=2889","channel 1")</f>
        <v>channel 1</v>
      </c>
    </row>
    <row r="10">
      <c r="A10" s="7"/>
      <c r="B10" s="28" t="s">
        <v>870</v>
      </c>
      <c r="C10" s="12" t="s">
        <v>117</v>
      </c>
      <c r="D10" s="28" t="s">
        <v>866</v>
      </c>
      <c r="E10" s="13" t="str">
        <f>HYPERLINK("https://youtu.be/j1zttjRVMEQ?t=2847","channel 2")</f>
        <v>channel 2</v>
      </c>
    </row>
    <row r="11">
      <c r="A11" s="7"/>
      <c r="B11" s="28" t="s">
        <v>686</v>
      </c>
      <c r="C11" s="12" t="s">
        <v>20</v>
      </c>
      <c r="D11" s="28" t="s">
        <v>869</v>
      </c>
      <c r="E11" s="36" t="str">
        <f>HYPERLINK("https://youtu.be/pPUIydUZonE?t=3816","channel 1")</f>
        <v>channel 1</v>
      </c>
    </row>
    <row r="12">
      <c r="A12" s="7"/>
      <c r="B12" s="28" t="s">
        <v>870</v>
      </c>
      <c r="C12" s="12" t="s">
        <v>239</v>
      </c>
      <c r="D12" s="28" t="s">
        <v>867</v>
      </c>
      <c r="E12" s="13" t="str">
        <f>HYPERLINK("https://youtu.be/j1zttjRVMEQ?t=3771","channel 2")</f>
        <v>channel 2</v>
      </c>
    </row>
    <row r="13">
      <c r="A13" s="7"/>
      <c r="B13" s="28" t="s">
        <v>867</v>
      </c>
      <c r="C13" s="12" t="s">
        <v>54</v>
      </c>
      <c r="D13" s="28" t="s">
        <v>866</v>
      </c>
      <c r="E13" s="36" t="str">
        <f>HYPERLINK("https://youtu.be/pPUIydUZonE?t=4775","channel 1")</f>
        <v>channel 1</v>
      </c>
    </row>
    <row r="14">
      <c r="A14" s="7"/>
      <c r="B14" s="28" t="s">
        <v>870</v>
      </c>
      <c r="C14" s="12" t="s">
        <v>872</v>
      </c>
      <c r="D14" s="28" t="s">
        <v>869</v>
      </c>
      <c r="E14" s="13" t="str">
        <f>HYPERLINK("https://youtu.be/j1zttjRVMEQ?t=4733","channel 2")</f>
        <v>channel 2</v>
      </c>
    </row>
    <row r="15">
      <c r="A15" s="7"/>
      <c r="B15" s="28" t="s">
        <v>866</v>
      </c>
      <c r="C15" s="12" t="s">
        <v>104</v>
      </c>
      <c r="D15" s="28" t="s">
        <v>686</v>
      </c>
      <c r="E15" s="36" t="str">
        <f>HYPERLINK("https://youtu.be/pPUIydUZonE?t=5783","channel 1")</f>
        <v>channel 1</v>
      </c>
    </row>
    <row r="16">
      <c r="A16" s="7"/>
      <c r="B16" s="28" t="s">
        <v>867</v>
      </c>
      <c r="C16" s="12" t="s">
        <v>750</v>
      </c>
      <c r="D16" s="28" t="s">
        <v>869</v>
      </c>
      <c r="E16" s="13" t="str">
        <f>HYPERLINK("https://youtu.be/j1zttjRVMEQ?t=5830","channel 2")</f>
        <v>channel 2</v>
      </c>
    </row>
    <row r="17">
      <c r="A17" s="7"/>
      <c r="B17" s="28" t="s">
        <v>870</v>
      </c>
      <c r="C17" s="12" t="s">
        <v>213</v>
      </c>
      <c r="D17" s="28" t="s">
        <v>686</v>
      </c>
      <c r="E17" s="36" t="str">
        <f>HYPERLINK("https://youtu.be/pPUIydUZonE?t=6921","channel 1")</f>
        <v>channel 1</v>
      </c>
    </row>
    <row r="18">
      <c r="A18" s="7"/>
      <c r="B18" s="28" t="s">
        <v>866</v>
      </c>
      <c r="C18" s="12" t="s">
        <v>307</v>
      </c>
      <c r="D18" s="28" t="s">
        <v>869</v>
      </c>
      <c r="E18" s="13" t="str">
        <f>HYPERLINK("https://youtu.be/j1zttjRVMEQ?t=6695","channel 2")</f>
        <v>channel 2</v>
      </c>
    </row>
    <row r="19">
      <c r="A19" s="7"/>
      <c r="B19" s="28" t="s">
        <v>867</v>
      </c>
      <c r="C19" s="12" t="s">
        <v>102</v>
      </c>
      <c r="D19" s="28" t="s">
        <v>686</v>
      </c>
      <c r="E19" s="36" t="str">
        <f>HYPERLINK("https://youtu.be/pPUIydUZonE?t=7853","channel 1")</f>
        <v>channel 1</v>
      </c>
    </row>
    <row r="20">
      <c r="A20" s="7"/>
      <c r="B20" s="28" t="s">
        <v>866</v>
      </c>
      <c r="C20" s="12" t="s">
        <v>89</v>
      </c>
      <c r="D20" s="28" t="s">
        <v>870</v>
      </c>
      <c r="E20" s="13" t="str">
        <f>HYPERLINK("https://youtu.be/j1zttjRVMEQ?t=7681","channel 2")</f>
        <v>channel 2</v>
      </c>
    </row>
    <row r="21">
      <c r="A21" s="7"/>
      <c r="B21" s="28" t="s">
        <v>869</v>
      </c>
      <c r="C21" s="12" t="s">
        <v>278</v>
      </c>
      <c r="D21" s="28" t="s">
        <v>686</v>
      </c>
      <c r="E21" s="36" t="str">
        <f>HYPERLINK("https://youtu.be/pPUIydUZonE?t=8795","channel 1")</f>
        <v>channel 1</v>
      </c>
    </row>
    <row r="22">
      <c r="A22" s="7"/>
      <c r="B22" s="28" t="s">
        <v>867</v>
      </c>
      <c r="C22" s="12" t="s">
        <v>55</v>
      </c>
      <c r="D22" s="28" t="s">
        <v>870</v>
      </c>
      <c r="E22" s="13" t="str">
        <f>HYPERLINK("https://youtu.be/j1zttjRVMEQ?t=8638","channel 2")</f>
        <v>channel 2</v>
      </c>
    </row>
    <row r="23">
      <c r="A23" s="7"/>
      <c r="B23" s="2" t="s">
        <v>64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877</v>
      </c>
      <c r="C25" s="12" t="s">
        <v>285</v>
      </c>
      <c r="D25" s="28" t="s">
        <v>878</v>
      </c>
      <c r="E25" s="36" t="str">
        <f>HYPERLINK("https://youtu.be/hoIzhNzMHtg","channel 1")</f>
        <v>channel 1</v>
      </c>
    </row>
    <row r="26">
      <c r="A26" s="7"/>
      <c r="B26" s="28" t="s">
        <v>879</v>
      </c>
      <c r="C26" s="12" t="s">
        <v>156</v>
      </c>
      <c r="D26" s="28" t="s">
        <v>880</v>
      </c>
      <c r="E26" s="13" t="str">
        <f>HYPERLINK("https://youtu.be/zxcPy2dK7vI","channel 2")</f>
        <v>channel 2</v>
      </c>
    </row>
    <row r="27">
      <c r="A27" s="7"/>
      <c r="B27" s="28" t="s">
        <v>881</v>
      </c>
      <c r="C27" s="12" t="s">
        <v>882</v>
      </c>
      <c r="D27" s="28" t="s">
        <v>877</v>
      </c>
      <c r="E27" s="36" t="str">
        <f>HYPERLINK("https://youtu.be/hoIzhNzMHtg?t=987","channel 1")</f>
        <v>channel 1</v>
      </c>
    </row>
    <row r="28">
      <c r="A28" s="7"/>
      <c r="B28" s="28" t="s">
        <v>879</v>
      </c>
      <c r="C28" s="12" t="s">
        <v>435</v>
      </c>
      <c r="D28" s="28" t="s">
        <v>878</v>
      </c>
      <c r="E28" s="13" t="str">
        <f>HYPERLINK("https://youtu.be/zxcPy2dK7vI?t=945","channel 2")</f>
        <v>channel 2</v>
      </c>
    </row>
    <row r="29">
      <c r="A29" s="7"/>
      <c r="B29" s="28" t="s">
        <v>881</v>
      </c>
      <c r="C29" s="12" t="s">
        <v>82</v>
      </c>
      <c r="D29" s="28" t="s">
        <v>880</v>
      </c>
      <c r="E29" s="36" t="str">
        <f>HYPERLINK("https://youtu.be/hoIzhNzMHtg?t=2022","channel 1")</f>
        <v>channel 1</v>
      </c>
    </row>
    <row r="30">
      <c r="A30" s="7"/>
      <c r="B30" s="28" t="s">
        <v>879</v>
      </c>
      <c r="C30" s="12" t="s">
        <v>99</v>
      </c>
      <c r="D30" s="28" t="s">
        <v>877</v>
      </c>
      <c r="E30" s="13" t="str">
        <f>HYPERLINK("https://youtu.be/zxcPy2dK7vI?t=1998","channel 2")</f>
        <v>channel 2</v>
      </c>
    </row>
    <row r="31">
      <c r="A31" s="7"/>
      <c r="B31" s="28" t="s">
        <v>881</v>
      </c>
      <c r="C31" s="12" t="s">
        <v>278</v>
      </c>
      <c r="D31" s="28" t="s">
        <v>878</v>
      </c>
      <c r="E31" s="36" t="str">
        <f>HYPERLINK("https://youtu.be/hoIzhNzMHtg?t=3013","channel 1")</f>
        <v>channel 1</v>
      </c>
    </row>
    <row r="32">
      <c r="A32" s="7"/>
      <c r="B32" s="28" t="s">
        <v>880</v>
      </c>
      <c r="C32" s="12" t="s">
        <v>109</v>
      </c>
      <c r="D32" s="28" t="s">
        <v>877</v>
      </c>
      <c r="E32" s="13" t="str">
        <f>HYPERLINK("https://youtu.be/zxcPy2dK7vI?t=2991","channel 2")</f>
        <v>channel 2</v>
      </c>
    </row>
    <row r="33">
      <c r="A33" s="7"/>
      <c r="B33" s="28" t="s">
        <v>881</v>
      </c>
      <c r="C33" s="12" t="s">
        <v>46</v>
      </c>
      <c r="D33" s="28" t="s">
        <v>879</v>
      </c>
      <c r="E33" s="36" t="str">
        <f>HYPERLINK("https://youtu.be/hoIzhNzMHtg?t=3933","channel 1")</f>
        <v>channel 1</v>
      </c>
    </row>
    <row r="34">
      <c r="A34" s="7"/>
      <c r="B34" s="28" t="s">
        <v>880</v>
      </c>
      <c r="C34" s="12" t="s">
        <v>124</v>
      </c>
      <c r="D34" s="28" t="s">
        <v>878</v>
      </c>
      <c r="E34" s="13" t="str">
        <f>HYPERLINK("https://youtu.be/zxcPy2dK7vI?t=3932","channel 2")</f>
        <v>channel 2</v>
      </c>
    </row>
    <row r="35">
      <c r="A35" s="7"/>
      <c r="B35" s="28" t="s">
        <v>878</v>
      </c>
      <c r="C35" s="12" t="s">
        <v>322</v>
      </c>
      <c r="D35" s="28" t="s">
        <v>877</v>
      </c>
      <c r="E35" s="36" t="str">
        <f>HYPERLINK("https://youtu.be/hoIzhNzMHtg?t=4889","channel 1")</f>
        <v>channel 1</v>
      </c>
    </row>
    <row r="36">
      <c r="A36" s="7"/>
      <c r="B36" s="28" t="s">
        <v>880</v>
      </c>
      <c r="C36" s="12" t="s">
        <v>193</v>
      </c>
      <c r="D36" s="28" t="s">
        <v>879</v>
      </c>
      <c r="E36" s="13" t="str">
        <f>HYPERLINK("https://youtu.be/zxcPy2dK7vI?t=4842","channel 2")</f>
        <v>channel 2</v>
      </c>
    </row>
    <row r="37">
      <c r="A37" s="7"/>
      <c r="B37" s="28" t="s">
        <v>877</v>
      </c>
      <c r="C37" s="12" t="s">
        <v>40</v>
      </c>
      <c r="D37" s="28" t="s">
        <v>881</v>
      </c>
      <c r="E37" s="36" t="str">
        <f>HYPERLINK("https://youtu.be/hoIzhNzMHtg?t=5841","channel 1")</f>
        <v>channel 1</v>
      </c>
    </row>
    <row r="38">
      <c r="A38" s="7"/>
      <c r="B38" s="28" t="s">
        <v>878</v>
      </c>
      <c r="C38" s="12" t="s">
        <v>143</v>
      </c>
      <c r="D38" s="28" t="s">
        <v>879</v>
      </c>
      <c r="E38" s="13" t="str">
        <f>HYPERLINK("https://youtu.be/zxcPy2dK7vI?t=5869","channel 2")</f>
        <v>channel 2</v>
      </c>
    </row>
    <row r="39">
      <c r="A39" s="7"/>
      <c r="B39" s="28" t="s">
        <v>880</v>
      </c>
      <c r="C39" s="18" t="s">
        <v>893</v>
      </c>
      <c r="D39" s="28" t="s">
        <v>881</v>
      </c>
      <c r="E39" s="36" t="str">
        <f>HYPERLINK("https://youtu.be/hoIzhNzMHtg?t=6790","channel 1")</f>
        <v>channel 1</v>
      </c>
    </row>
    <row r="40">
      <c r="A40" s="7"/>
      <c r="B40" s="28" t="s">
        <v>877</v>
      </c>
      <c r="C40" s="12" t="s">
        <v>143</v>
      </c>
      <c r="D40" s="28" t="s">
        <v>879</v>
      </c>
      <c r="E40" s="13" t="str">
        <f>HYPERLINK("https://youtu.be/zxcPy2dK7vI?t=6828","channel 2")</f>
        <v>channel 2</v>
      </c>
    </row>
    <row r="41">
      <c r="A41" s="7"/>
      <c r="B41" s="28" t="s">
        <v>878</v>
      </c>
      <c r="C41" s="12" t="s">
        <v>108</v>
      </c>
      <c r="D41" s="28" t="s">
        <v>881</v>
      </c>
      <c r="E41" s="36" t="str">
        <f>HYPERLINK("https://youtu.be/hoIzhNzMHtg?t=7685","channel 1")</f>
        <v>channel 1</v>
      </c>
    </row>
    <row r="42">
      <c r="A42" s="7"/>
      <c r="B42" s="28" t="s">
        <v>877</v>
      </c>
      <c r="C42" s="12" t="s">
        <v>761</v>
      </c>
      <c r="D42" s="28" t="s">
        <v>880</v>
      </c>
      <c r="E42" s="13" t="str">
        <f>HYPERLINK("https://youtu.be/zxcPy2dK7vI?t=7725","channel 2")</f>
        <v>channel 2</v>
      </c>
    </row>
    <row r="43">
      <c r="A43" s="7"/>
      <c r="B43" s="28" t="s">
        <v>879</v>
      </c>
      <c r="C43" s="12" t="s">
        <v>34</v>
      </c>
      <c r="D43" s="28" t="s">
        <v>881</v>
      </c>
      <c r="E43" s="36" t="str">
        <f>HYPERLINK("https://youtu.be/hoIzhNzMHtg?t=8586","channel 1")</f>
        <v>channel 1</v>
      </c>
    </row>
    <row r="44">
      <c r="A44" s="7"/>
      <c r="B44" s="28" t="s">
        <v>878</v>
      </c>
      <c r="C44" s="12" t="s">
        <v>460</v>
      </c>
      <c r="D44" s="28" t="s">
        <v>880</v>
      </c>
      <c r="E44" s="13" t="str">
        <f>HYPERLINK("https://youtu.be/zxcPy2dK7vI?t=8654","channel 2")</f>
        <v>channel 2</v>
      </c>
    </row>
    <row r="45">
      <c r="A45" s="7"/>
      <c r="B45" s="2" t="s">
        <v>597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895</v>
      </c>
      <c r="C47" s="12" t="s">
        <v>759</v>
      </c>
      <c r="D47" s="28" t="s">
        <v>896</v>
      </c>
      <c r="E47" s="36" t="str">
        <f>HYPERLINK("https://youtu.be/KLBZAaRq-R0","channel 1")</f>
        <v>channel 1</v>
      </c>
    </row>
    <row r="48">
      <c r="A48" s="7"/>
      <c r="B48" s="28" t="s">
        <v>897</v>
      </c>
      <c r="C48" s="12" t="s">
        <v>759</v>
      </c>
      <c r="D48" s="28" t="s">
        <v>898</v>
      </c>
      <c r="E48" s="13" t="str">
        <f>HYPERLINK("https://youtu.be/VfUP4dbQuSQ","channel 2")</f>
        <v>channel 2</v>
      </c>
    </row>
    <row r="49">
      <c r="A49" s="7"/>
      <c r="B49" s="28" t="s">
        <v>336</v>
      </c>
      <c r="C49" s="46" t="s">
        <v>117</v>
      </c>
      <c r="D49" s="28" t="s">
        <v>895</v>
      </c>
      <c r="E49" s="36" t="str">
        <f>HYPERLINK("https://youtu.be/KLBZAaRq-R0?t=988","channel 1")</f>
        <v>channel 1</v>
      </c>
    </row>
    <row r="50">
      <c r="A50" s="7"/>
      <c r="B50" s="28" t="s">
        <v>897</v>
      </c>
      <c r="C50" s="12" t="s">
        <v>145</v>
      </c>
      <c r="D50" s="28" t="s">
        <v>896</v>
      </c>
      <c r="E50" s="13" t="str">
        <f>HYPERLINK("https://youtu.be/VfUP4dbQuSQ?t=912","channel 2")</f>
        <v>channel 2</v>
      </c>
    </row>
    <row r="51">
      <c r="A51" s="7"/>
      <c r="B51" s="28" t="s">
        <v>336</v>
      </c>
      <c r="C51" s="12" t="s">
        <v>900</v>
      </c>
      <c r="D51" s="28" t="s">
        <v>898</v>
      </c>
      <c r="E51" s="36" t="str">
        <f>HYPERLINK("https://youtu.be/KLBZAaRq-R0?t=1926","channel 1")</f>
        <v>channel 1</v>
      </c>
    </row>
    <row r="52">
      <c r="A52" s="7"/>
      <c r="B52" s="28" t="s">
        <v>897</v>
      </c>
      <c r="C52" s="12" t="s">
        <v>385</v>
      </c>
      <c r="D52" s="28" t="s">
        <v>895</v>
      </c>
      <c r="E52" s="13" t="str">
        <f>HYPERLINK("https://youtu.be/VfUP4dbQuSQ?t=1901","channel 2")</f>
        <v>channel 2</v>
      </c>
    </row>
    <row r="53">
      <c r="A53" s="7"/>
      <c r="B53" s="28" t="s">
        <v>336</v>
      </c>
      <c r="C53" s="12" t="s">
        <v>152</v>
      </c>
      <c r="D53" s="28" t="s">
        <v>896</v>
      </c>
      <c r="E53" s="36" t="str">
        <f>HYPERLINK("https://youtu.be/KLBZAaRq-R0?t=2832","channel 1")</f>
        <v>channel 1</v>
      </c>
    </row>
    <row r="54">
      <c r="A54" s="7"/>
      <c r="B54" s="28" t="s">
        <v>898</v>
      </c>
      <c r="C54" s="12" t="s">
        <v>901</v>
      </c>
      <c r="D54" s="28" t="s">
        <v>895</v>
      </c>
      <c r="E54" s="13" t="str">
        <f>HYPERLINK("https://youtu.be/VfUP4dbQuSQ?t=2875","channel 2")</f>
        <v>channel 2</v>
      </c>
    </row>
    <row r="55">
      <c r="A55" s="7"/>
      <c r="B55" s="28" t="s">
        <v>336</v>
      </c>
      <c r="C55" s="12" t="s">
        <v>44</v>
      </c>
      <c r="D55" s="28" t="s">
        <v>897</v>
      </c>
      <c r="E55" s="36" t="str">
        <f>HYPERLINK("https://youtu.be/KLBZAaRq-R0?t=3806","channel 1")</f>
        <v>channel 1</v>
      </c>
    </row>
    <row r="56">
      <c r="A56" s="7"/>
      <c r="B56" s="28" t="s">
        <v>898</v>
      </c>
      <c r="C56" s="12" t="s">
        <v>84</v>
      </c>
      <c r="D56" s="28" t="s">
        <v>896</v>
      </c>
      <c r="E56" s="13" t="str">
        <f>HYPERLINK("https://youtu.be/VfUP4dbQuSQ?t=3795","channel 2")</f>
        <v>channel 2</v>
      </c>
    </row>
    <row r="57">
      <c r="A57" s="7"/>
      <c r="B57" s="28" t="s">
        <v>896</v>
      </c>
      <c r="C57" s="12" t="s">
        <v>318</v>
      </c>
      <c r="D57" s="28" t="s">
        <v>895</v>
      </c>
      <c r="E57" s="36" t="str">
        <f>HYPERLINK("https://youtu.be/KLBZAaRq-R0?t=4703","channel 1")</f>
        <v>channel 1</v>
      </c>
    </row>
    <row r="58">
      <c r="A58" s="7"/>
      <c r="B58" s="28" t="s">
        <v>898</v>
      </c>
      <c r="C58" s="12" t="s">
        <v>414</v>
      </c>
      <c r="D58" s="28" t="s">
        <v>897</v>
      </c>
      <c r="E58" s="13" t="str">
        <f>HYPERLINK("https://youtu.be/VfUP4dbQuSQ?t=4645","channel 2")</f>
        <v>channel 2</v>
      </c>
    </row>
    <row r="59">
      <c r="A59" s="7"/>
      <c r="B59" s="28" t="s">
        <v>895</v>
      </c>
      <c r="C59" s="12" t="s">
        <v>338</v>
      </c>
      <c r="D59" s="28" t="s">
        <v>336</v>
      </c>
      <c r="E59" s="36" t="str">
        <f>HYPERLINK("https://youtu.be/KLBZAaRq-R0?t=5607","channel 1")</f>
        <v>channel 1</v>
      </c>
    </row>
    <row r="60">
      <c r="A60" s="7"/>
      <c r="B60" s="28" t="s">
        <v>896</v>
      </c>
      <c r="C60" s="12" t="s">
        <v>84</v>
      </c>
      <c r="D60" s="28" t="s">
        <v>897</v>
      </c>
      <c r="E60" s="13" t="str">
        <f>HYPERLINK("https://youtu.be/VfUP4dbQuSQ?t=5720","channel 2")</f>
        <v>channel 2</v>
      </c>
    </row>
    <row r="61">
      <c r="A61" s="7"/>
      <c r="B61" s="28" t="s">
        <v>898</v>
      </c>
      <c r="C61" s="12" t="s">
        <v>135</v>
      </c>
      <c r="D61" s="28" t="s">
        <v>336</v>
      </c>
      <c r="E61" s="36" t="str">
        <f>HYPERLINK("https://youtu.be/KLBZAaRq-R0?t=6510","channel 1")</f>
        <v>channel 1</v>
      </c>
    </row>
    <row r="62">
      <c r="A62" s="7"/>
      <c r="B62" s="28" t="s">
        <v>895</v>
      </c>
      <c r="C62" s="18" t="s">
        <v>770</v>
      </c>
      <c r="D62" s="28" t="s">
        <v>897</v>
      </c>
      <c r="E62" s="13" t="str">
        <f>HYPERLINK("https://youtu.be/VfUP4dbQuSQ?t=6609","channel 2")</f>
        <v>channel 2</v>
      </c>
    </row>
    <row r="63">
      <c r="A63" s="7"/>
      <c r="B63" s="28" t="s">
        <v>896</v>
      </c>
      <c r="C63" s="12" t="s">
        <v>141</v>
      </c>
      <c r="D63" s="28" t="s">
        <v>336</v>
      </c>
      <c r="E63" s="36" t="str">
        <f>HYPERLINK("https://youtu.be/KLBZAaRq-R0?t=7410","channel 1")</f>
        <v>channel 1</v>
      </c>
    </row>
    <row r="64">
      <c r="A64" s="7"/>
      <c r="B64" s="28" t="s">
        <v>895</v>
      </c>
      <c r="C64" s="12" t="s">
        <v>184</v>
      </c>
      <c r="D64" s="28" t="s">
        <v>898</v>
      </c>
      <c r="E64" s="13" t="str">
        <f>HYPERLINK("https://youtu.be/VfUP4dbQuSQ?t=7544","channel 2")</f>
        <v>channel 2</v>
      </c>
    </row>
    <row r="65">
      <c r="A65" s="7"/>
      <c r="B65" s="28" t="s">
        <v>897</v>
      </c>
      <c r="C65" s="12" t="s">
        <v>278</v>
      </c>
      <c r="D65" s="28" t="s">
        <v>336</v>
      </c>
      <c r="E65" s="36" t="str">
        <f>HYPERLINK("https://youtu.be/KLBZAaRq-R0?t=8274","channel 1")</f>
        <v>channel 1</v>
      </c>
    </row>
    <row r="66">
      <c r="A66" s="7"/>
      <c r="B66" s="28" t="s">
        <v>896</v>
      </c>
      <c r="C66" s="12" t="s">
        <v>213</v>
      </c>
      <c r="D66" s="28" t="s">
        <v>898</v>
      </c>
      <c r="E66" s="13" t="str">
        <f>HYPERLINK("https://youtu.be/VfUP4dbQuSQ?t=8456","channel 2")</f>
        <v>channel 2</v>
      </c>
    </row>
    <row r="67">
      <c r="A67" s="7"/>
      <c r="B67" s="42" t="s">
        <v>229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913</v>
      </c>
      <c r="C69" s="12" t="s">
        <v>49</v>
      </c>
      <c r="D69" s="28" t="s">
        <v>914</v>
      </c>
      <c r="E69" s="36" t="str">
        <f>HYPERLINK("https://youtu.be/DbAN68aHcwY","channel 1")</f>
        <v>channel 1</v>
      </c>
    </row>
    <row r="70">
      <c r="A70" s="7"/>
      <c r="B70" s="28" t="s">
        <v>915</v>
      </c>
      <c r="C70" s="12" t="s">
        <v>214</v>
      </c>
      <c r="D70" s="28" t="s">
        <v>916</v>
      </c>
      <c r="E70" s="13" t="str">
        <f>HYPERLINK("https://youtu.be/eThnN-Le3s0","channel 2")</f>
        <v>channel 2</v>
      </c>
    </row>
    <row r="71">
      <c r="A71" s="7"/>
      <c r="B71" s="28" t="s">
        <v>917</v>
      </c>
      <c r="C71" s="12" t="s">
        <v>230</v>
      </c>
      <c r="D71" s="28" t="s">
        <v>913</v>
      </c>
      <c r="E71" s="36" t="str">
        <f>HYPERLINK("https://youtu.be/DbAN68aHcwY?t=983","channel 1")</f>
        <v>channel 1</v>
      </c>
    </row>
    <row r="72">
      <c r="A72" s="7"/>
      <c r="B72" s="28" t="s">
        <v>915</v>
      </c>
      <c r="C72" s="12" t="s">
        <v>522</v>
      </c>
      <c r="D72" s="28" t="s">
        <v>914</v>
      </c>
      <c r="E72" s="13" t="str">
        <f>HYPERLINK("https://youtu.be/eThnN-Le3s0?t=917","channel 2")</f>
        <v>channel 2</v>
      </c>
    </row>
    <row r="73">
      <c r="A73" s="7"/>
      <c r="B73" s="28" t="s">
        <v>917</v>
      </c>
      <c r="C73" s="12" t="s">
        <v>37</v>
      </c>
      <c r="D73" s="28" t="s">
        <v>916</v>
      </c>
      <c r="E73" s="36" t="str">
        <f>HYPERLINK("https://youtu.be/DbAN68aHcwY?t=2002","channel 1")</f>
        <v>channel 1</v>
      </c>
    </row>
    <row r="74">
      <c r="A74" s="7"/>
      <c r="B74" s="28" t="s">
        <v>915</v>
      </c>
      <c r="C74" s="12" t="s">
        <v>35</v>
      </c>
      <c r="D74" s="28" t="s">
        <v>913</v>
      </c>
      <c r="E74" s="13" t="str">
        <f>HYPERLINK("https://youtu.be/eThnN-Le3s0?t=1989","channel 2")</f>
        <v>channel 2</v>
      </c>
    </row>
    <row r="75">
      <c r="A75" s="7"/>
      <c r="B75" s="28" t="s">
        <v>917</v>
      </c>
      <c r="C75" s="12" t="s">
        <v>77</v>
      </c>
      <c r="D75" s="28" t="s">
        <v>914</v>
      </c>
      <c r="E75" s="36" t="str">
        <f>HYPERLINK("https://youtu.be/DbAN68aHcwY?t=2958","channel 1")</f>
        <v>channel 1</v>
      </c>
    </row>
    <row r="76">
      <c r="A76" s="7"/>
      <c r="B76" s="28" t="s">
        <v>916</v>
      </c>
      <c r="C76" s="12" t="s">
        <v>210</v>
      </c>
      <c r="D76" s="28" t="s">
        <v>913</v>
      </c>
      <c r="E76" s="13" t="str">
        <f>HYPERLINK("https://youtu.be/eThnN-Le3s0?t=2971","channel 2")</f>
        <v>channel 2</v>
      </c>
    </row>
    <row r="77">
      <c r="A77" s="7"/>
      <c r="B77" s="28" t="s">
        <v>917</v>
      </c>
      <c r="C77" s="12" t="s">
        <v>212</v>
      </c>
      <c r="D77" s="28" t="s">
        <v>915</v>
      </c>
      <c r="E77" s="36" t="str">
        <f>HYPERLINK("https://youtu.be/DbAN68aHcwY?t=3861","channel 1")</f>
        <v>channel 1</v>
      </c>
    </row>
    <row r="78">
      <c r="A78" s="7"/>
      <c r="B78" s="28" t="s">
        <v>916</v>
      </c>
      <c r="C78" s="12" t="s">
        <v>277</v>
      </c>
      <c r="D78" s="28" t="s">
        <v>914</v>
      </c>
      <c r="E78" s="13" t="str">
        <f>HYPERLINK("https://youtu.be/eThnN-Le3s0?t=3807","channel 2")</f>
        <v>channel 2</v>
      </c>
    </row>
    <row r="79">
      <c r="A79" s="7"/>
      <c r="B79" s="28" t="s">
        <v>914</v>
      </c>
      <c r="C79" s="12" t="s">
        <v>239</v>
      </c>
      <c r="D79" s="28" t="s">
        <v>913</v>
      </c>
      <c r="E79" s="36" t="str">
        <f>HYPERLINK("https://youtu.be/DbAN68aHcwY?t=4748","channel 1")</f>
        <v>channel 1</v>
      </c>
    </row>
    <row r="80">
      <c r="A80" s="7"/>
      <c r="B80" s="28" t="s">
        <v>916</v>
      </c>
      <c r="C80" s="12" t="s">
        <v>928</v>
      </c>
      <c r="D80" s="28" t="s">
        <v>915</v>
      </c>
      <c r="E80" s="13" t="str">
        <f>HYPERLINK("https://youtu.be/eThnN-Le3s0?t=4761","channel 2")</f>
        <v>channel 2</v>
      </c>
    </row>
    <row r="81">
      <c r="A81" s="7"/>
      <c r="B81" s="28" t="s">
        <v>913</v>
      </c>
      <c r="C81" s="12" t="s">
        <v>277</v>
      </c>
      <c r="D81" s="28" t="s">
        <v>917</v>
      </c>
      <c r="E81" s="36" t="str">
        <f>HYPERLINK("https://youtu.be/DbAN68aHcwY?t=5701","channel 1")</f>
        <v>channel 1</v>
      </c>
    </row>
    <row r="82">
      <c r="A82" s="7"/>
      <c r="B82" s="28" t="s">
        <v>914</v>
      </c>
      <c r="C82" s="12" t="s">
        <v>104</v>
      </c>
      <c r="D82" s="28" t="s">
        <v>915</v>
      </c>
      <c r="E82" s="13" t="str">
        <f>HYPERLINK("https://youtu.be/eThnN-Le3s0?t=5706","channel 2")</f>
        <v>channel 2</v>
      </c>
    </row>
    <row r="83">
      <c r="A83" s="7"/>
      <c r="B83" s="28" t="s">
        <v>916</v>
      </c>
      <c r="C83" s="12" t="s">
        <v>343</v>
      </c>
      <c r="D83" s="28" t="s">
        <v>917</v>
      </c>
      <c r="E83" s="36" t="str">
        <f>HYPERLINK("https://youtu.be/DbAN68aHcwY?t=6655","channel 1")</f>
        <v>channel 1</v>
      </c>
    </row>
    <row r="84">
      <c r="A84" s="7"/>
      <c r="B84" s="28" t="s">
        <v>913</v>
      </c>
      <c r="C84" s="12" t="s">
        <v>934</v>
      </c>
      <c r="D84" s="28" t="s">
        <v>915</v>
      </c>
      <c r="E84" s="13" t="str">
        <f>HYPERLINK("https://youtu.be/eThnN-Le3s0?t=6696","channel 2")</f>
        <v>channel 2</v>
      </c>
    </row>
    <row r="85">
      <c r="A85" s="7"/>
      <c r="B85" s="28" t="s">
        <v>914</v>
      </c>
      <c r="C85" s="12" t="s">
        <v>225</v>
      </c>
      <c r="D85" s="28" t="s">
        <v>917</v>
      </c>
      <c r="E85" s="36" t="str">
        <f>HYPERLINK("https://youtu.be/DbAN68aHcwY?t=7585","channel 1")</f>
        <v>channel 1</v>
      </c>
    </row>
    <row r="86">
      <c r="A86" s="7"/>
      <c r="B86" s="28" t="s">
        <v>913</v>
      </c>
      <c r="C86" s="12" t="s">
        <v>570</v>
      </c>
      <c r="D86" s="28" t="s">
        <v>916</v>
      </c>
      <c r="E86" s="13" t="str">
        <f>HYPERLINK("https://youtu.be/eThnN-Le3s0?t=7668","channel 2")</f>
        <v>channel 2</v>
      </c>
    </row>
    <row r="87">
      <c r="A87" s="7"/>
      <c r="B87" s="28" t="s">
        <v>915</v>
      </c>
      <c r="C87" s="12" t="s">
        <v>868</v>
      </c>
      <c r="D87" s="28" t="s">
        <v>917</v>
      </c>
      <c r="E87" s="36" t="str">
        <f>HYPERLINK("https://youtu.be/DbAN68aHcwY?t=8523","channel 1")</f>
        <v>channel 1</v>
      </c>
    </row>
    <row r="88">
      <c r="A88" s="25"/>
      <c r="B88" s="28" t="s">
        <v>914</v>
      </c>
      <c r="C88" s="12" t="s">
        <v>935</v>
      </c>
      <c r="D88" s="28" t="s">
        <v>916</v>
      </c>
      <c r="E88" s="13" t="str">
        <f>HYPERLINK("https://youtu.be/eThnN-Le3s0?t=8604","channel 2")</f>
        <v>channel 2</v>
      </c>
    </row>
    <row r="89">
      <c r="B89" s="2" t="s">
        <v>638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95</v>
      </c>
      <c r="C91" s="12" t="s">
        <v>74</v>
      </c>
      <c r="D91" s="28" t="s">
        <v>763</v>
      </c>
      <c r="E91" s="36" t="str">
        <f>HYPERLINK("https://youtu.be/0AOkDJjKab4","channel 1")</f>
        <v>channel 1</v>
      </c>
    </row>
    <row r="92">
      <c r="B92" s="28" t="s">
        <v>936</v>
      </c>
      <c r="C92" s="12" t="s">
        <v>272</v>
      </c>
      <c r="D92" s="28" t="s">
        <v>937</v>
      </c>
      <c r="E92" s="13" t="str">
        <f>HYPERLINK("https://youtu.be/Phg1F8Z_YAg","channel 2")</f>
        <v>channel 2</v>
      </c>
    </row>
    <row r="93">
      <c r="B93" s="28" t="s">
        <v>161</v>
      </c>
      <c r="C93" s="12" t="s">
        <v>111</v>
      </c>
      <c r="D93" s="28" t="s">
        <v>95</v>
      </c>
      <c r="E93" s="36" t="str">
        <f>HYPERLINK("https://youtu.be/0AOkDJjKab4?t=900","channel 1")</f>
        <v>channel 1</v>
      </c>
    </row>
    <row r="94">
      <c r="B94" s="28" t="s">
        <v>936</v>
      </c>
      <c r="C94" s="12" t="s">
        <v>124</v>
      </c>
      <c r="D94" s="28" t="s">
        <v>763</v>
      </c>
      <c r="E94" s="13" t="str">
        <f>HYPERLINK("https://youtu.be/Phg1F8Z_YAg?t=911","channel 2")</f>
        <v>channel 2</v>
      </c>
    </row>
    <row r="95">
      <c r="B95" s="28" t="s">
        <v>161</v>
      </c>
      <c r="C95" s="12" t="s">
        <v>938</v>
      </c>
      <c r="D95" s="28" t="s">
        <v>937</v>
      </c>
      <c r="E95" s="36" t="str">
        <f>HYPERLINK("https://youtu.be/0AOkDJjKab4?t=1790","channel 1")</f>
        <v>channel 1</v>
      </c>
    </row>
    <row r="96">
      <c r="B96" s="28" t="s">
        <v>936</v>
      </c>
      <c r="C96" s="12" t="s">
        <v>786</v>
      </c>
      <c r="D96" s="28" t="s">
        <v>95</v>
      </c>
      <c r="E96" s="13" t="str">
        <f>HYPERLINK("https://youtu.be/Phg1F8Z_YAg?t=1752","channel 2")</f>
        <v>channel 2</v>
      </c>
    </row>
    <row r="97">
      <c r="B97" s="28" t="s">
        <v>161</v>
      </c>
      <c r="C97" s="12" t="s">
        <v>34</v>
      </c>
      <c r="D97" s="28" t="s">
        <v>763</v>
      </c>
      <c r="E97" s="36" t="str">
        <f>HYPERLINK("https://youtu.be/0AOkDJjKab4?t=2723","channel 1")</f>
        <v>channel 1</v>
      </c>
    </row>
    <row r="98">
      <c r="B98" s="28" t="s">
        <v>937</v>
      </c>
      <c r="C98" s="12" t="s">
        <v>571</v>
      </c>
      <c r="D98" s="28" t="s">
        <v>95</v>
      </c>
      <c r="E98" s="13" t="str">
        <f>HYPERLINK("https://youtu.be/Phg1F8Z_YAg?t=3574","channel 2")</f>
        <v>channel 2</v>
      </c>
    </row>
    <row r="99">
      <c r="B99" s="28" t="s">
        <v>161</v>
      </c>
      <c r="C99" s="12" t="s">
        <v>337</v>
      </c>
      <c r="D99" s="28" t="s">
        <v>936</v>
      </c>
      <c r="E99" s="36" t="str">
        <f>HYPERLINK("https://youtu.be/0AOkDJjKab4?t=3720","channel 1")</f>
        <v>channel 1</v>
      </c>
    </row>
    <row r="100">
      <c r="B100" s="28" t="s">
        <v>937</v>
      </c>
      <c r="C100" s="12" t="s">
        <v>74</v>
      </c>
      <c r="D100" s="28" t="s">
        <v>763</v>
      </c>
      <c r="E100" s="13" t="str">
        <f>HYPERLINK("https://youtu.be/Phg1F8Z_YAg?t=2654","channel 2")</f>
        <v>channel 2</v>
      </c>
    </row>
    <row r="101">
      <c r="B101" s="28" t="s">
        <v>763</v>
      </c>
      <c r="C101" s="12" t="s">
        <v>46</v>
      </c>
      <c r="D101" s="28" t="s">
        <v>95</v>
      </c>
      <c r="E101" s="36" t="str">
        <f>HYPERLINK("https://youtu.be/0AOkDJjKab4?t=4610","channel 1")</f>
        <v>channel 1</v>
      </c>
    </row>
    <row r="102">
      <c r="B102" s="28" t="s">
        <v>937</v>
      </c>
      <c r="C102" s="12" t="s">
        <v>10</v>
      </c>
      <c r="D102" s="28" t="s">
        <v>936</v>
      </c>
      <c r="E102" s="13" t="str">
        <f>HYPERLINK("https://youtu.be/Phg1F8Z_YAg?t=4582","channel 2")</f>
        <v>channel 2</v>
      </c>
    </row>
    <row r="103">
      <c r="B103" s="28" t="s">
        <v>95</v>
      </c>
      <c r="C103" s="12" t="s">
        <v>117</v>
      </c>
      <c r="D103" s="28" t="s">
        <v>161</v>
      </c>
      <c r="E103" s="36" t="str">
        <f>HYPERLINK("https://youtu.be/0AOkDJjKab4?t=4610","channel 1")</f>
        <v>channel 1</v>
      </c>
    </row>
    <row r="104">
      <c r="B104" s="28" t="s">
        <v>763</v>
      </c>
      <c r="C104" s="12" t="s">
        <v>46</v>
      </c>
      <c r="D104" s="28" t="s">
        <v>936</v>
      </c>
      <c r="E104" s="13" t="str">
        <f>HYPERLINK("https://youtu.be/Phg1F8Z_YAg?t=5528","channel 2")</f>
        <v>channel 2</v>
      </c>
    </row>
    <row r="105">
      <c r="B105" s="28" t="s">
        <v>937</v>
      </c>
      <c r="C105" s="12" t="s">
        <v>32</v>
      </c>
      <c r="D105" s="28" t="s">
        <v>161</v>
      </c>
      <c r="E105" s="36" t="str">
        <f>HYPERLINK("https://youtu.be/0AOkDJjKab4?t=6445","channel 1")</f>
        <v>channel 1</v>
      </c>
    </row>
    <row r="106">
      <c r="B106" s="28" t="s">
        <v>95</v>
      </c>
      <c r="C106" s="12" t="s">
        <v>940</v>
      </c>
      <c r="D106" s="28" t="s">
        <v>936</v>
      </c>
      <c r="E106" s="13" t="str">
        <f>HYPERLINK("https://youtu.be/Phg1F8Z_YAg?t=6396","channel 2")</f>
        <v>channel 2</v>
      </c>
    </row>
    <row r="107">
      <c r="B107" s="28" t="s">
        <v>763</v>
      </c>
      <c r="C107" s="12" t="s">
        <v>141</v>
      </c>
      <c r="D107" s="28" t="s">
        <v>161</v>
      </c>
      <c r="E107" s="36" t="str">
        <f>HYPERLINK("https://youtu.be/0AOkDJjKab4?t=7306","channel 1")</f>
        <v>channel 1</v>
      </c>
    </row>
    <row r="108">
      <c r="B108" s="28" t="s">
        <v>95</v>
      </c>
      <c r="C108" s="12" t="s">
        <v>108</v>
      </c>
      <c r="D108" s="28" t="s">
        <v>937</v>
      </c>
      <c r="E108" s="13" t="str">
        <f>HYPERLINK("https://youtu.be/Phg1F8Z_YAg?t=7246","channel 2")</f>
        <v>channel 2</v>
      </c>
    </row>
    <row r="109">
      <c r="B109" s="28" t="s">
        <v>936</v>
      </c>
      <c r="C109" s="12" t="s">
        <v>821</v>
      </c>
      <c r="D109" s="28" t="s">
        <v>161</v>
      </c>
      <c r="E109" s="36" t="str">
        <f>HYPERLINK("https://youtu.be/0AOkDJjKab4?t=8234","channel 1")</f>
        <v>channel 1</v>
      </c>
    </row>
    <row r="110">
      <c r="B110" s="28" t="s">
        <v>763</v>
      </c>
      <c r="C110" s="12" t="s">
        <v>47</v>
      </c>
      <c r="D110" s="28" t="s">
        <v>937</v>
      </c>
      <c r="E110" s="13" t="str">
        <f>HYPERLINK("https://youtu.be/Phg1F8Z_YAg?t=8087","channel 2")</f>
        <v>channel 2</v>
      </c>
    </row>
    <row r="111">
      <c r="B111" s="2" t="s">
        <v>648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944</v>
      </c>
      <c r="C113" s="12" t="s">
        <v>77</v>
      </c>
      <c r="D113" s="28" t="s">
        <v>945</v>
      </c>
      <c r="E113" s="36" t="str">
        <f>HYPERLINK("https://youtu.be/AyeDyy_N3jk","channel 1")</f>
        <v>channel 1</v>
      </c>
    </row>
    <row r="114">
      <c r="B114" s="28" t="s">
        <v>946</v>
      </c>
      <c r="C114" s="12" t="s">
        <v>143</v>
      </c>
      <c r="D114" s="28" t="s">
        <v>947</v>
      </c>
      <c r="E114" s="13" t="str">
        <f>HYPERLINK("https://youtu.be/Elp51rkQ8SA","channel 2")</f>
        <v>channel 2</v>
      </c>
    </row>
    <row r="115">
      <c r="B115" s="28" t="s">
        <v>948</v>
      </c>
      <c r="C115" s="12" t="s">
        <v>49</v>
      </c>
      <c r="D115" s="28" t="s">
        <v>944</v>
      </c>
      <c r="E115" s="36" t="str">
        <f>HYPERLINK("https://youtu.be/AyeDyy_N3jk?t=915","channel 1")</f>
        <v>channel 1</v>
      </c>
    </row>
    <row r="116">
      <c r="B116" s="28" t="s">
        <v>946</v>
      </c>
      <c r="C116" s="12" t="s">
        <v>74</v>
      </c>
      <c r="D116" s="28" t="s">
        <v>945</v>
      </c>
      <c r="E116" s="13" t="str">
        <f>HYPERLINK("https://youtu.be/Elp51rkQ8SA?t=824","channel 2")</f>
        <v>channel 2</v>
      </c>
    </row>
    <row r="117">
      <c r="B117" s="28" t="s">
        <v>948</v>
      </c>
      <c r="C117" s="12" t="s">
        <v>337</v>
      </c>
      <c r="D117" s="28" t="s">
        <v>947</v>
      </c>
      <c r="E117" s="36" t="str">
        <f>HYPERLINK("https://youtu.be/AyeDyy_N3jk?t=1860","channel 1")</f>
        <v>channel 1</v>
      </c>
    </row>
    <row r="118">
      <c r="B118" s="28" t="s">
        <v>946</v>
      </c>
      <c r="C118" s="12" t="s">
        <v>237</v>
      </c>
      <c r="D118" s="28" t="s">
        <v>944</v>
      </c>
      <c r="E118" s="13" t="str">
        <f>HYPERLINK("https://youtu.be/Elp51rkQ8SA?t=1783","channel 2")</f>
        <v>channel 2</v>
      </c>
    </row>
    <row r="119">
      <c r="B119" s="28" t="s">
        <v>948</v>
      </c>
      <c r="C119" s="12" t="s">
        <v>85</v>
      </c>
      <c r="D119" s="28" t="s">
        <v>945</v>
      </c>
      <c r="E119" s="36" t="str">
        <f>HYPERLINK("https://youtu.be/AyeDyy_N3jk?t=2724","channel 1")</f>
        <v>channel 1</v>
      </c>
    </row>
    <row r="120">
      <c r="B120" s="28" t="s">
        <v>947</v>
      </c>
      <c r="C120" s="12" t="s">
        <v>210</v>
      </c>
      <c r="D120" s="28" t="s">
        <v>944</v>
      </c>
      <c r="E120" s="13" t="str">
        <f>HYPERLINK("https://youtu.be/Elp51rkQ8SA?t=2742","channel 2")</f>
        <v>channel 2</v>
      </c>
    </row>
    <row r="121">
      <c r="B121" s="28" t="s">
        <v>948</v>
      </c>
      <c r="C121" s="12" t="s">
        <v>226</v>
      </c>
      <c r="D121" s="28" t="s">
        <v>946</v>
      </c>
      <c r="E121" s="36" t="str">
        <f>HYPERLINK("https://youtu.be/AyeDyy_N3jk?t=3689","channel 1")</f>
        <v>channel 1</v>
      </c>
    </row>
    <row r="122">
      <c r="B122" s="28" t="s">
        <v>947</v>
      </c>
      <c r="C122" s="12" t="s">
        <v>141</v>
      </c>
      <c r="D122" s="28" t="s">
        <v>945</v>
      </c>
      <c r="E122" s="13" t="str">
        <f>HYPERLINK("https://youtu.be/Elp51rkQ8SA?t=3673","channel 2")</f>
        <v>channel 2</v>
      </c>
    </row>
    <row r="123">
      <c r="B123" s="28" t="s">
        <v>945</v>
      </c>
      <c r="C123" s="12" t="s">
        <v>77</v>
      </c>
      <c r="D123" s="28" t="s">
        <v>944</v>
      </c>
      <c r="E123" s="36" t="str">
        <f>HYPERLINK("https://youtu.be/AyeDyy_N3jk?t=4637","channel 1")</f>
        <v>channel 1</v>
      </c>
    </row>
    <row r="124">
      <c r="B124" s="28" t="s">
        <v>947</v>
      </c>
      <c r="C124" s="12" t="s">
        <v>575</v>
      </c>
      <c r="D124" s="28" t="s">
        <v>946</v>
      </c>
      <c r="E124" s="13" t="str">
        <f>HYPERLINK("https://youtu.be/Elp51rkQ8SA?t=4686","channel 2")</f>
        <v>channel 2</v>
      </c>
    </row>
    <row r="125">
      <c r="B125" s="28" t="s">
        <v>944</v>
      </c>
      <c r="C125" s="12" t="s">
        <v>97</v>
      </c>
      <c r="D125" s="28" t="s">
        <v>948</v>
      </c>
      <c r="E125" s="36" t="str">
        <f>HYPERLINK("https://youtu.be/AyeDyy_N3jk?t=5652","channel 1")</f>
        <v>channel 1</v>
      </c>
    </row>
    <row r="126">
      <c r="B126" s="28" t="s">
        <v>945</v>
      </c>
      <c r="C126" s="12" t="s">
        <v>108</v>
      </c>
      <c r="D126" s="28" t="s">
        <v>946</v>
      </c>
      <c r="E126" s="13" t="str">
        <f>HYPERLINK("https://youtu.be/Elp51rkQ8SA?t=5493","channel 2")</f>
        <v>channel 2</v>
      </c>
    </row>
    <row r="127">
      <c r="B127" s="28" t="s">
        <v>947</v>
      </c>
      <c r="C127" s="12" t="s">
        <v>90</v>
      </c>
      <c r="D127" s="28" t="s">
        <v>948</v>
      </c>
      <c r="E127" s="36" t="str">
        <f>HYPERLINK("https://youtu.be/AyeDyy_N3jk?t=6535","channel 1")</f>
        <v>channel 1</v>
      </c>
    </row>
    <row r="128">
      <c r="B128" s="28" t="s">
        <v>944</v>
      </c>
      <c r="C128" s="12" t="s">
        <v>59</v>
      </c>
      <c r="D128" s="28" t="s">
        <v>946</v>
      </c>
      <c r="E128" s="13" t="str">
        <f>HYPERLINK("https://youtu.be/Elp51rkQ8SA?t=6407","channel 2")</f>
        <v>channel 2</v>
      </c>
    </row>
    <row r="129">
      <c r="B129" s="28" t="s">
        <v>945</v>
      </c>
      <c r="C129" s="12" t="s">
        <v>30</v>
      </c>
      <c r="D129" s="28" t="s">
        <v>948</v>
      </c>
      <c r="E129" s="36" t="str">
        <f>HYPERLINK("https://youtu.be/AyeDyy_N3jk?t=7405","channel 1")</f>
        <v>channel 1</v>
      </c>
    </row>
    <row r="130">
      <c r="B130" s="28" t="s">
        <v>944</v>
      </c>
      <c r="C130" s="12" t="s">
        <v>104</v>
      </c>
      <c r="D130" s="28" t="s">
        <v>947</v>
      </c>
      <c r="E130" s="13" t="str">
        <f>HYPERLINK("https://youtu.be/Elp51rkQ8SA?t=7303","channel 2")</f>
        <v>channel 2</v>
      </c>
    </row>
    <row r="131">
      <c r="B131" s="28" t="s">
        <v>946</v>
      </c>
      <c r="C131" s="12" t="s">
        <v>32</v>
      </c>
      <c r="D131" s="28" t="s">
        <v>948</v>
      </c>
      <c r="E131" s="36" t="str">
        <f>HYPERLINK("https://youtu.be/AyeDyy_N3jk?t=8304","channel 1")</f>
        <v>channel 1</v>
      </c>
    </row>
    <row r="132">
      <c r="B132" s="28" t="s">
        <v>945</v>
      </c>
      <c r="C132" s="12" t="s">
        <v>109</v>
      </c>
      <c r="D132" s="28" t="s">
        <v>947</v>
      </c>
      <c r="E132" s="13" t="str">
        <f>HYPERLINK("https://youtu.be/Elp51rkQ8SA?t=8297","channel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531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884</v>
      </c>
      <c r="C3" s="12" t="s">
        <v>191</v>
      </c>
      <c r="D3" s="28" t="s">
        <v>788</v>
      </c>
      <c r="E3" s="36" t="str">
        <f>HYPERLINK("https://youtu.be/rknVKs452Xk","channel 1")</f>
        <v>channel 1</v>
      </c>
    </row>
    <row r="4">
      <c r="A4" s="7"/>
      <c r="B4" s="28" t="s">
        <v>886</v>
      </c>
      <c r="C4" s="37" t="s">
        <v>887</v>
      </c>
      <c r="D4" s="28" t="s">
        <v>889</v>
      </c>
      <c r="E4" s="13" t="str">
        <f>HYPERLINK("https://youtu.be/B0uWjTHWym8","channel 2")</f>
        <v>channel 2</v>
      </c>
    </row>
    <row r="5">
      <c r="A5" s="7"/>
      <c r="B5" s="28" t="s">
        <v>892</v>
      </c>
      <c r="C5" s="12" t="s">
        <v>82</v>
      </c>
      <c r="D5" s="28" t="s">
        <v>884</v>
      </c>
      <c r="E5" s="36" t="str">
        <f>HYPERLINK("https://youtu.be/rknVKs452Xk?t=966","channel 1")</f>
        <v>channel 1</v>
      </c>
    </row>
    <row r="6">
      <c r="A6" s="7"/>
      <c r="B6" s="28" t="s">
        <v>886</v>
      </c>
      <c r="C6" s="12" t="s">
        <v>90</v>
      </c>
      <c r="D6" s="28" t="s">
        <v>788</v>
      </c>
      <c r="E6" s="13" t="str">
        <f>HYPERLINK("https://youtu.be/B0uWjTHWym8?t=903","channel 2")</f>
        <v>channel 2</v>
      </c>
    </row>
    <row r="7">
      <c r="A7" s="7"/>
      <c r="B7" s="28" t="s">
        <v>892</v>
      </c>
      <c r="C7" s="12" t="s">
        <v>180</v>
      </c>
      <c r="D7" s="28" t="s">
        <v>889</v>
      </c>
      <c r="E7" s="36" t="str">
        <f>HYPERLINK("https://youtu.be/rknVKs452Xk?t=1975","channel 1")</f>
        <v>channel 1</v>
      </c>
    </row>
    <row r="8">
      <c r="A8" s="7"/>
      <c r="B8" s="28" t="s">
        <v>886</v>
      </c>
      <c r="C8" s="12" t="s">
        <v>38</v>
      </c>
      <c r="D8" s="28" t="s">
        <v>884</v>
      </c>
      <c r="E8" s="13" t="str">
        <f>HYPERLINK("https://youtu.be/B0uWjTHWym8?t=1739","channel 2")</f>
        <v>channel 2</v>
      </c>
    </row>
    <row r="9">
      <c r="A9" s="7"/>
      <c r="B9" s="28" t="s">
        <v>892</v>
      </c>
      <c r="C9" s="12" t="s">
        <v>30</v>
      </c>
      <c r="D9" s="28" t="s">
        <v>788</v>
      </c>
      <c r="E9" s="36" t="str">
        <f>HYPERLINK("https://youtu.be/rknVKs452Xk?t=2910","channel 1")</f>
        <v>channel 1</v>
      </c>
    </row>
    <row r="10">
      <c r="A10" s="7"/>
      <c r="B10" s="28" t="s">
        <v>889</v>
      </c>
      <c r="C10" s="12" t="s">
        <v>102</v>
      </c>
      <c r="D10" s="28" t="s">
        <v>884</v>
      </c>
      <c r="E10" s="13" t="str">
        <f>HYPERLINK("https://youtu.be/B0uWjTHWym8?t=2919","channel 2")</f>
        <v>channel 2</v>
      </c>
    </row>
    <row r="11">
      <c r="A11" s="7"/>
      <c r="B11" s="28" t="s">
        <v>892</v>
      </c>
      <c r="C11" s="12" t="s">
        <v>117</v>
      </c>
      <c r="D11" s="28" t="s">
        <v>886</v>
      </c>
      <c r="E11" s="36" t="str">
        <f>HYPERLINK("https://youtu.be/rknVKs452Xk?t=3810","channel 1")</f>
        <v>channel 1</v>
      </c>
    </row>
    <row r="12">
      <c r="A12" s="7"/>
      <c r="B12" s="28" t="s">
        <v>889</v>
      </c>
      <c r="C12" s="12" t="s">
        <v>436</v>
      </c>
      <c r="D12" s="28" t="s">
        <v>788</v>
      </c>
      <c r="E12" s="13" t="str">
        <f>HYPERLINK("https://youtu.be/B0uWjTHWym8?t=3896","channel 2")</f>
        <v>channel 2</v>
      </c>
    </row>
    <row r="13">
      <c r="A13" s="7"/>
      <c r="B13" s="28" t="s">
        <v>788</v>
      </c>
      <c r="C13" s="12" t="s">
        <v>104</v>
      </c>
      <c r="D13" s="28" t="s">
        <v>884</v>
      </c>
      <c r="E13" s="36" t="str">
        <f>HYPERLINK("https://youtu.be/rknVKs452Xk?t=4742","channel 1")</f>
        <v>channel 1</v>
      </c>
    </row>
    <row r="14">
      <c r="A14" s="7"/>
      <c r="B14" s="28" t="s">
        <v>889</v>
      </c>
      <c r="C14" s="12" t="s">
        <v>188</v>
      </c>
      <c r="D14" s="28" t="s">
        <v>886</v>
      </c>
      <c r="E14" s="13" t="str">
        <f>HYPERLINK("https://youtu.be/B0uWjTHWym8?t=4754","channel 2")</f>
        <v>channel 2</v>
      </c>
    </row>
    <row r="15">
      <c r="A15" s="7"/>
      <c r="B15" s="28" t="s">
        <v>884</v>
      </c>
      <c r="C15" s="12" t="s">
        <v>899</v>
      </c>
      <c r="D15" s="28" t="s">
        <v>892</v>
      </c>
      <c r="E15" s="36" t="str">
        <f>HYPERLINK("https://youtu.be/rknVKs452Xk?t=5716","channel 1")</f>
        <v>channel 1</v>
      </c>
    </row>
    <row r="16">
      <c r="A16" s="7"/>
      <c r="B16" s="28" t="s">
        <v>788</v>
      </c>
      <c r="C16" s="12" t="s">
        <v>97</v>
      </c>
      <c r="D16" s="28" t="s">
        <v>886</v>
      </c>
      <c r="E16" s="13" t="str">
        <f>HYPERLINK("https://youtu.be/B0uWjTHWym8?t=5672","channel 2")</f>
        <v>channel 2</v>
      </c>
    </row>
    <row r="17">
      <c r="A17" s="7"/>
      <c r="B17" s="28" t="s">
        <v>889</v>
      </c>
      <c r="C17" s="12" t="s">
        <v>188</v>
      </c>
      <c r="D17" s="28" t="s">
        <v>892</v>
      </c>
      <c r="E17" s="36" t="str">
        <f>HYPERLINK("https://youtu.be/rknVKs452Xk?t=6666","channel 1")</f>
        <v>channel 1</v>
      </c>
    </row>
    <row r="18">
      <c r="A18" s="7"/>
      <c r="B18" s="28" t="s">
        <v>884</v>
      </c>
      <c r="C18" s="12" t="s">
        <v>193</v>
      </c>
      <c r="D18" s="28" t="s">
        <v>886</v>
      </c>
      <c r="E18" s="13" t="str">
        <f>HYPERLINK("https://youtu.be/B0uWjTHWym8?t=6680","channel 2")</f>
        <v>channel 2</v>
      </c>
    </row>
    <row r="19">
      <c r="A19" s="7"/>
      <c r="B19" s="28" t="s">
        <v>788</v>
      </c>
      <c r="C19" s="12" t="s">
        <v>20</v>
      </c>
      <c r="D19" s="28" t="s">
        <v>892</v>
      </c>
      <c r="E19" s="36" t="str">
        <f>HYPERLINK("https://youtu.be/rknVKs452Xk?t=7661","channel 1")</f>
        <v>channel 1</v>
      </c>
    </row>
    <row r="20">
      <c r="A20" s="7"/>
      <c r="B20" s="28" t="s">
        <v>884</v>
      </c>
      <c r="C20" s="12" t="s">
        <v>901</v>
      </c>
      <c r="D20" s="28" t="s">
        <v>889</v>
      </c>
      <c r="E20" s="13" t="str">
        <f>HYPERLINK("https://youtu.be/B0uWjTHWym8?t=7680","channel 2")</f>
        <v>channel 2</v>
      </c>
    </row>
    <row r="21">
      <c r="A21" s="7"/>
      <c r="B21" s="28" t="s">
        <v>886</v>
      </c>
      <c r="C21" s="12" t="s">
        <v>278</v>
      </c>
      <c r="D21" s="28" t="s">
        <v>892</v>
      </c>
      <c r="E21" s="36" t="str">
        <f>HYPERLINK("https://youtu.be/rknVKs452Xk?t=8566","channel 1")</f>
        <v>channel 1</v>
      </c>
    </row>
    <row r="22">
      <c r="A22" s="7"/>
      <c r="B22" s="28" t="s">
        <v>788</v>
      </c>
      <c r="C22" s="12" t="s">
        <v>144</v>
      </c>
      <c r="D22" s="28" t="s">
        <v>889</v>
      </c>
      <c r="E22" s="13" t="str">
        <f>HYPERLINK("https://youtu.be/B0uWjTHWym8?t=8554","channel 2")</f>
        <v>channel 2</v>
      </c>
    </row>
    <row r="23">
      <c r="A23" s="7"/>
      <c r="B23" s="2" t="s">
        <v>676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903</v>
      </c>
      <c r="C25" s="12" t="s">
        <v>37</v>
      </c>
      <c r="D25" s="28" t="s">
        <v>388</v>
      </c>
      <c r="E25" s="36" t="str">
        <f>HYPERLINK("https://youtu.be/9BekbkPEVR8","channel 1")</f>
        <v>channel 1</v>
      </c>
    </row>
    <row r="26">
      <c r="A26" s="7"/>
      <c r="B26" s="28" t="s">
        <v>906</v>
      </c>
      <c r="C26" s="12" t="s">
        <v>124</v>
      </c>
      <c r="D26" s="28" t="s">
        <v>908</v>
      </c>
      <c r="E26" s="13" t="str">
        <f>HYPERLINK("https://youtu.be/8fqcd_ipF_0","channel 2")</f>
        <v>channel 2</v>
      </c>
    </row>
    <row r="27">
      <c r="A27" s="7"/>
      <c r="B27" s="28" t="s">
        <v>391</v>
      </c>
      <c r="C27" s="12" t="s">
        <v>671</v>
      </c>
      <c r="D27" s="28" t="s">
        <v>903</v>
      </c>
      <c r="E27" s="36" t="str">
        <f>HYPERLINK("https://youtu.be/9BekbkPEVR8?t=1030","channel 1")</f>
        <v>channel 1</v>
      </c>
    </row>
    <row r="28">
      <c r="A28" s="7"/>
      <c r="B28" s="28" t="s">
        <v>906</v>
      </c>
      <c r="C28" s="12" t="s">
        <v>910</v>
      </c>
      <c r="D28" s="28" t="s">
        <v>388</v>
      </c>
      <c r="E28" s="13" t="str">
        <f>HYPERLINK("https://youtu.be/8fqcd_ipF_0?t=833","channel 2")</f>
        <v>channel 2</v>
      </c>
    </row>
    <row r="29">
      <c r="A29" s="7"/>
      <c r="B29" s="28" t="s">
        <v>391</v>
      </c>
      <c r="C29" s="12" t="s">
        <v>24</v>
      </c>
      <c r="D29" s="28" t="s">
        <v>908</v>
      </c>
      <c r="E29" s="36" t="str">
        <f>HYPERLINK("https://youtu.be/9BekbkPEVR8?t=1982","channel 1")</f>
        <v>channel 1</v>
      </c>
    </row>
    <row r="30">
      <c r="A30" s="7"/>
      <c r="B30" s="28" t="s">
        <v>906</v>
      </c>
      <c r="C30" s="12" t="s">
        <v>180</v>
      </c>
      <c r="D30" s="28" t="s">
        <v>903</v>
      </c>
      <c r="E30" s="13" t="str">
        <f>HYPERLINK("https://youtu.be/8fqcd_ipF_0?t=1702","channel 2")</f>
        <v>channel 2</v>
      </c>
    </row>
    <row r="31">
      <c r="A31" s="7"/>
      <c r="B31" s="28" t="s">
        <v>391</v>
      </c>
      <c r="C31" s="12" t="s">
        <v>278</v>
      </c>
      <c r="D31" s="28" t="s">
        <v>388</v>
      </c>
      <c r="E31" s="36" t="str">
        <f>HYPERLINK("https://youtu.be/9BekbkPEVR8?t=2905","channel 1")</f>
        <v>channel 1</v>
      </c>
    </row>
    <row r="32">
      <c r="A32" s="7"/>
      <c r="B32" s="28" t="s">
        <v>908</v>
      </c>
      <c r="C32" s="12" t="s">
        <v>194</v>
      </c>
      <c r="D32" s="28" t="s">
        <v>903</v>
      </c>
      <c r="E32" s="13" t="str">
        <f>HYPERLINK("https://youtu.be/8fqcd_ipF_0?t=2847","channel 2")</f>
        <v>channel 2</v>
      </c>
    </row>
    <row r="33">
      <c r="A33" s="7"/>
      <c r="B33" s="28" t="s">
        <v>391</v>
      </c>
      <c r="C33" s="12" t="s">
        <v>876</v>
      </c>
      <c r="D33" s="28" t="s">
        <v>906</v>
      </c>
      <c r="E33" s="36" t="str">
        <f>HYPERLINK("https://youtu.be/9BekbkPEVR8?t=3853","channel 1")</f>
        <v>channel 1</v>
      </c>
    </row>
    <row r="34">
      <c r="A34" s="7"/>
      <c r="B34" s="28" t="s">
        <v>908</v>
      </c>
      <c r="C34" s="12" t="s">
        <v>460</v>
      </c>
      <c r="D34" s="28" t="s">
        <v>388</v>
      </c>
      <c r="E34" s="13" t="str">
        <f>HYPERLINK("https://youtu.be/8fqcd_ipF_0?t=3775","channel 2")</f>
        <v>channel 2</v>
      </c>
    </row>
    <row r="35">
      <c r="A35" s="7"/>
      <c r="B35" s="28" t="s">
        <v>388</v>
      </c>
      <c r="C35" s="12" t="s">
        <v>911</v>
      </c>
      <c r="D35" s="28" t="s">
        <v>903</v>
      </c>
      <c r="E35" s="36" t="str">
        <f>HYPERLINK("https://youtu.be/9BekbkPEVR8?t=4761","channel 1")</f>
        <v>channel 1</v>
      </c>
    </row>
    <row r="36">
      <c r="A36" s="7"/>
      <c r="B36" s="28" t="s">
        <v>908</v>
      </c>
      <c r="C36" s="46" t="s">
        <v>750</v>
      </c>
      <c r="D36" s="28" t="s">
        <v>906</v>
      </c>
      <c r="E36" s="13" t="str">
        <f>HYPERLINK("https://youtu.be/8fqcd_ipF_0?t=4623","channel 2")</f>
        <v>channel 2</v>
      </c>
    </row>
    <row r="37">
      <c r="A37" s="7"/>
      <c r="B37" s="28" t="s">
        <v>903</v>
      </c>
      <c r="C37" s="12" t="s">
        <v>59</v>
      </c>
      <c r="D37" s="28" t="s">
        <v>391</v>
      </c>
      <c r="E37" s="36" t="str">
        <f>HYPERLINK("https://youtu.be/9BekbkPEVR8?t=5689","channel 1")</f>
        <v>channel 1</v>
      </c>
    </row>
    <row r="38">
      <c r="A38" s="7"/>
      <c r="B38" s="28" t="s">
        <v>388</v>
      </c>
      <c r="C38" s="12" t="s">
        <v>11</v>
      </c>
      <c r="D38" s="28" t="s">
        <v>906</v>
      </c>
      <c r="E38" s="13" t="str">
        <f>HYPERLINK("https://youtu.be/8fqcd_ipF_0?t=5492","channel 2")</f>
        <v>channel 2</v>
      </c>
    </row>
    <row r="39">
      <c r="A39" s="7"/>
      <c r="B39" s="28" t="s">
        <v>908</v>
      </c>
      <c r="C39" s="18" t="s">
        <v>108</v>
      </c>
      <c r="D39" s="28" t="s">
        <v>391</v>
      </c>
      <c r="E39" s="36" t="str">
        <f>HYPERLINK("https://youtu.be/9BekbkPEVR8?t=6672","channel 1")</f>
        <v>channel 1</v>
      </c>
    </row>
    <row r="40">
      <c r="A40" s="7"/>
      <c r="B40" s="28" t="s">
        <v>903</v>
      </c>
      <c r="C40" s="12" t="s">
        <v>918</v>
      </c>
      <c r="D40" s="28" t="s">
        <v>906</v>
      </c>
      <c r="E40" s="13" t="str">
        <f>HYPERLINK("https://youtu.be/8fqcd_ipF_0?t=6478","channel 2")</f>
        <v>channel 2</v>
      </c>
    </row>
    <row r="41">
      <c r="A41" s="7"/>
      <c r="B41" s="28" t="s">
        <v>388</v>
      </c>
      <c r="C41" s="12" t="s">
        <v>61</v>
      </c>
      <c r="D41" s="28" t="s">
        <v>391</v>
      </c>
      <c r="E41" s="36" t="str">
        <f>HYPERLINK("https://youtu.be/9BekbkPEVR8?t=7625","channel 1")</f>
        <v>channel 1</v>
      </c>
    </row>
    <row r="42">
      <c r="A42" s="7"/>
      <c r="B42" s="28" t="s">
        <v>903</v>
      </c>
      <c r="C42" s="12" t="s">
        <v>142</v>
      </c>
      <c r="D42" s="28" t="s">
        <v>908</v>
      </c>
      <c r="E42" s="13" t="str">
        <f>HYPERLINK("https://youtu.be/8fqcd_ipF_0?t=7311","channel 2")</f>
        <v>channel 2</v>
      </c>
    </row>
    <row r="43">
      <c r="A43" s="7"/>
      <c r="B43" s="28" t="s">
        <v>906</v>
      </c>
      <c r="C43" s="12" t="s">
        <v>213</v>
      </c>
      <c r="D43" s="28" t="s">
        <v>391</v>
      </c>
      <c r="E43" s="36" t="str">
        <f>HYPERLINK("https://youtu.be/9BekbkPEVR8?t=8528","channel 1")</f>
        <v>channel 1</v>
      </c>
    </row>
    <row r="44">
      <c r="A44" s="7"/>
      <c r="B44" s="28" t="s">
        <v>388</v>
      </c>
      <c r="C44" s="12" t="s">
        <v>24</v>
      </c>
      <c r="D44" s="28" t="s">
        <v>908</v>
      </c>
      <c r="E44" s="13" t="str">
        <f>HYPERLINK("https://youtu.be/8fqcd_ipF_0?t=8347","channel 2")</f>
        <v>channel 2</v>
      </c>
    </row>
    <row r="45">
      <c r="A45" s="7"/>
      <c r="B45" s="2" t="s">
        <v>546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924</v>
      </c>
      <c r="C47" s="12" t="s">
        <v>347</v>
      </c>
      <c r="D47" s="28" t="s">
        <v>927</v>
      </c>
      <c r="E47" s="36" t="str">
        <f>HYPERLINK("https://youtu.be/4uxKdZh7K2g","channel 1")</f>
        <v>channel 1</v>
      </c>
    </row>
    <row r="48">
      <c r="A48" s="7"/>
      <c r="B48" s="28" t="s">
        <v>930</v>
      </c>
      <c r="C48" s="12" t="s">
        <v>109</v>
      </c>
      <c r="D48" s="28" t="s">
        <v>931</v>
      </c>
      <c r="E48" s="13" t="str">
        <f>HYPERLINK("https://youtu.be/1DXcpr1CQCk","channel 2")</f>
        <v>channel 2</v>
      </c>
    </row>
    <row r="49">
      <c r="A49" s="7"/>
      <c r="B49" s="28" t="s">
        <v>932</v>
      </c>
      <c r="C49" s="12" t="s">
        <v>933</v>
      </c>
      <c r="D49" s="28" t="s">
        <v>924</v>
      </c>
      <c r="E49" s="36" t="str">
        <f>HYPERLINK("https://youtu.be/4uxKdZh7K2g?t=856","channel 1")</f>
        <v>channel 1</v>
      </c>
    </row>
    <row r="50">
      <c r="A50" s="7"/>
      <c r="B50" s="28" t="s">
        <v>930</v>
      </c>
      <c r="C50" s="12" t="s">
        <v>770</v>
      </c>
      <c r="D50" s="28" t="s">
        <v>927</v>
      </c>
      <c r="E50" s="13" t="str">
        <f>HYPERLINK("https://youtu.be/sPrSnC7YbC8?t=987","channel 2")</f>
        <v>channel 2</v>
      </c>
    </row>
    <row r="51">
      <c r="A51" s="7"/>
      <c r="B51" s="28" t="s">
        <v>932</v>
      </c>
      <c r="C51" s="12" t="s">
        <v>529</v>
      </c>
      <c r="D51" s="28" t="s">
        <v>931</v>
      </c>
      <c r="E51" s="36" t="str">
        <f>HYPERLINK("https://youtu.be/4uxKdZh7K2g?t=1846","channel 1")</f>
        <v>channel 1</v>
      </c>
    </row>
    <row r="52">
      <c r="A52" s="7"/>
      <c r="B52" s="28" t="s">
        <v>930</v>
      </c>
      <c r="C52" s="12" t="s">
        <v>85</v>
      </c>
      <c r="D52" s="28" t="s">
        <v>924</v>
      </c>
      <c r="E52" s="13" t="str">
        <f>HYPERLINK("https://youtu.be/sPrSnC7YbC8?t=2038","channel 2")</f>
        <v>channel 2</v>
      </c>
    </row>
    <row r="53">
      <c r="A53" s="7"/>
      <c r="B53" s="28" t="s">
        <v>932</v>
      </c>
      <c r="C53" s="12" t="s">
        <v>223</v>
      </c>
      <c r="D53" s="28" t="s">
        <v>927</v>
      </c>
      <c r="E53" s="36" t="str">
        <f>HYPERLINK("https://youtu.be/4uxKdZh7K2g?t=2874","channel 1")</f>
        <v>channel 1</v>
      </c>
    </row>
    <row r="54">
      <c r="A54" s="7"/>
      <c r="B54" s="28" t="s">
        <v>931</v>
      </c>
      <c r="C54" s="12" t="s">
        <v>11</v>
      </c>
      <c r="D54" s="28" t="s">
        <v>924</v>
      </c>
      <c r="E54" s="13" t="str">
        <f>HYPERLINK("https://youtu.be/sPrSnC7YbC8?t=3059","channel 2")</f>
        <v>channel 2</v>
      </c>
    </row>
    <row r="55">
      <c r="A55" s="7"/>
      <c r="B55" s="28" t="s">
        <v>932</v>
      </c>
      <c r="C55" s="12" t="s">
        <v>188</v>
      </c>
      <c r="D55" s="28" t="s">
        <v>930</v>
      </c>
      <c r="E55" s="36" t="str">
        <f>HYPERLINK("https://youtu.be/4uxKdZh7K2g?t=3838","channel 1")</f>
        <v>channel 1</v>
      </c>
    </row>
    <row r="56">
      <c r="A56" s="7"/>
      <c r="B56" s="28" t="s">
        <v>931</v>
      </c>
      <c r="C56" s="12" t="s">
        <v>46</v>
      </c>
      <c r="D56" s="28" t="s">
        <v>927</v>
      </c>
      <c r="E56" s="13" t="str">
        <f>HYPERLINK("https://youtu.be/sPrSnC7YbC8?t=4003","channel 2")</f>
        <v>channel 2</v>
      </c>
    </row>
    <row r="57">
      <c r="A57" s="7"/>
      <c r="B57" s="28" t="s">
        <v>927</v>
      </c>
      <c r="C57" s="12" t="s">
        <v>110</v>
      </c>
      <c r="D57" s="28" t="s">
        <v>924</v>
      </c>
      <c r="E57" s="36" t="str">
        <f>HYPERLINK("https://youtu.be/4uxKdZh7K2g?t=4715","channel 1")</f>
        <v>channel 1</v>
      </c>
    </row>
    <row r="58">
      <c r="A58" s="7"/>
      <c r="B58" s="28" t="s">
        <v>931</v>
      </c>
      <c r="C58" s="12" t="s">
        <v>46</v>
      </c>
      <c r="D58" s="28" t="s">
        <v>930</v>
      </c>
      <c r="E58" s="13" t="str">
        <f>HYPERLINK("https://youtu.be/sPrSnC7YbC8?t=4868","channel 2")</f>
        <v>channel 2</v>
      </c>
    </row>
    <row r="59">
      <c r="A59" s="7"/>
      <c r="B59" s="28" t="s">
        <v>924</v>
      </c>
      <c r="C59" s="12" t="s">
        <v>135</v>
      </c>
      <c r="D59" s="28" t="s">
        <v>932</v>
      </c>
      <c r="E59" s="36" t="str">
        <f>HYPERLINK("https://youtu.be/4uxKdZh7K2g?t=5647","channel 1")</f>
        <v>channel 1</v>
      </c>
    </row>
    <row r="60">
      <c r="A60" s="7"/>
      <c r="B60" s="28" t="s">
        <v>927</v>
      </c>
      <c r="C60" s="12" t="s">
        <v>42</v>
      </c>
      <c r="D60" s="28" t="s">
        <v>930</v>
      </c>
      <c r="E60" s="13" t="str">
        <f>HYPERLINK("https://youtu.be/sPrSnC7YbC8?t=5849","channel 2")</f>
        <v>channel 2</v>
      </c>
    </row>
    <row r="61">
      <c r="A61" s="7"/>
      <c r="B61" s="28" t="s">
        <v>931</v>
      </c>
      <c r="C61" s="12" t="s">
        <v>194</v>
      </c>
      <c r="D61" s="28" t="s">
        <v>932</v>
      </c>
      <c r="E61" s="36" t="str">
        <f>HYPERLINK("https://youtu.be/4uxKdZh7K2g?t=6606","channel 1")</f>
        <v>channel 1</v>
      </c>
    </row>
    <row r="62">
      <c r="A62" s="7"/>
      <c r="B62" s="28" t="s">
        <v>924</v>
      </c>
      <c r="C62" s="18" t="s">
        <v>32</v>
      </c>
      <c r="D62" s="28" t="s">
        <v>930</v>
      </c>
      <c r="E62" s="13" t="str">
        <f>HYPERLINK("https://youtu.be/sPrSnC7YbC8?t=6791","channel 2")</f>
        <v>channel 2</v>
      </c>
    </row>
    <row r="63">
      <c r="A63" s="7"/>
      <c r="B63" s="28" t="s">
        <v>927</v>
      </c>
      <c r="C63" s="12" t="s">
        <v>104</v>
      </c>
      <c r="D63" s="28" t="s">
        <v>932</v>
      </c>
      <c r="E63" s="36" t="str">
        <f>HYPERLINK("https://youtu.be/4uxKdZh7K2g?t=7511","channel 1")</f>
        <v>channel 1</v>
      </c>
    </row>
    <row r="64">
      <c r="A64" s="7"/>
      <c r="B64" s="28" t="s">
        <v>924</v>
      </c>
      <c r="C64" s="12" t="s">
        <v>109</v>
      </c>
      <c r="D64" s="28" t="s">
        <v>931</v>
      </c>
      <c r="E64" s="13" t="str">
        <f>HYPERLINK("https://youtu.be/sPrSnC7YbC8?t=7732","channel 2")</f>
        <v>channel 2</v>
      </c>
    </row>
    <row r="65">
      <c r="A65" s="7"/>
      <c r="B65" s="28" t="s">
        <v>930</v>
      </c>
      <c r="C65" s="12" t="s">
        <v>99</v>
      </c>
      <c r="D65" s="28" t="s">
        <v>932</v>
      </c>
      <c r="E65" s="36" t="str">
        <f>HYPERLINK("https://youtu.be/4uxKdZh7K2g?t=8396","channel 1")</f>
        <v>channel 1</v>
      </c>
    </row>
    <row r="66">
      <c r="A66" s="7"/>
      <c r="B66" s="28" t="s">
        <v>927</v>
      </c>
      <c r="C66" s="12" t="s">
        <v>575</v>
      </c>
      <c r="D66" s="28" t="s">
        <v>931</v>
      </c>
      <c r="E66" s="13" t="str">
        <f>HYPERLINK("https://youtu.be/sPrSnC7YbC8?t=8617","channel 2")</f>
        <v>channel 2</v>
      </c>
    </row>
    <row r="67">
      <c r="A67" s="7"/>
      <c r="B67" s="42" t="s">
        <v>240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939</v>
      </c>
      <c r="C69" s="12" t="s">
        <v>347</v>
      </c>
      <c r="D69" s="28" t="s">
        <v>243</v>
      </c>
      <c r="E69" s="36" t="str">
        <f>HYPERLINK("https://youtu.be/DH_yUJgDvJQ","channel 1")</f>
        <v>channel 1</v>
      </c>
    </row>
    <row r="70">
      <c r="A70" s="7"/>
      <c r="B70" s="28" t="s">
        <v>941</v>
      </c>
      <c r="C70" s="12" t="s">
        <v>32</v>
      </c>
      <c r="D70" s="28" t="s">
        <v>942</v>
      </c>
      <c r="E70" s="13" t="str">
        <f>HYPERLINK("https://youtu.be/6uAe1V861TQ","channel 2")</f>
        <v>channel 2</v>
      </c>
    </row>
    <row r="71">
      <c r="A71" s="7"/>
      <c r="B71" s="28" t="s">
        <v>248</v>
      </c>
      <c r="C71" s="12" t="s">
        <v>322</v>
      </c>
      <c r="D71" s="28" t="s">
        <v>939</v>
      </c>
      <c r="E71" s="36" t="str">
        <f>HYPERLINK("https://youtu.be/DH_yUJgDvJQ?t=915","channel 1")</f>
        <v>channel 1</v>
      </c>
    </row>
    <row r="72">
      <c r="A72" s="7"/>
      <c r="B72" s="28" t="s">
        <v>941</v>
      </c>
      <c r="C72" s="12" t="s">
        <v>18</v>
      </c>
      <c r="D72" s="28" t="s">
        <v>243</v>
      </c>
      <c r="E72" s="13" t="str">
        <f>HYPERLINK("https://youtu.be/6uAe1V861TQ?t=924","channel 2")</f>
        <v>channel 2</v>
      </c>
    </row>
    <row r="73">
      <c r="A73" s="7"/>
      <c r="B73" s="28" t="s">
        <v>248</v>
      </c>
      <c r="C73" s="12" t="s">
        <v>871</v>
      </c>
      <c r="D73" s="28" t="s">
        <v>942</v>
      </c>
      <c r="E73" s="36" t="str">
        <f>HYPERLINK("https://youtu.be/DH_yUJgDvJQ?t=1800","channel 1")</f>
        <v>channel 1</v>
      </c>
    </row>
    <row r="74">
      <c r="A74" s="7"/>
      <c r="B74" s="28" t="s">
        <v>941</v>
      </c>
      <c r="C74" s="12" t="s">
        <v>37</v>
      </c>
      <c r="D74" s="28" t="s">
        <v>939</v>
      </c>
      <c r="E74" s="13" t="str">
        <f>HYPERLINK("https://youtu.be/6uAe1V861TQ?t=1890","channel 2")</f>
        <v>channel 2</v>
      </c>
    </row>
    <row r="75">
      <c r="A75" s="7"/>
      <c r="B75" s="28" t="s">
        <v>248</v>
      </c>
      <c r="C75" s="12" t="s">
        <v>943</v>
      </c>
      <c r="D75" s="28" t="s">
        <v>243</v>
      </c>
      <c r="E75" s="36" t="str">
        <f>HYPERLINK("https://youtu.be/DH_yUJgDvJQ?t=2682","channel 1")</f>
        <v>channel 1</v>
      </c>
    </row>
    <row r="76">
      <c r="A76" s="7"/>
      <c r="B76" s="28" t="s">
        <v>942</v>
      </c>
      <c r="C76" s="12" t="s">
        <v>319</v>
      </c>
      <c r="D76" s="28" t="s">
        <v>939</v>
      </c>
      <c r="E76" s="13" t="str">
        <f>HYPERLINK("https://youtu.be/6uAe1V861TQ?t=2808","channel 2")</f>
        <v>channel 2</v>
      </c>
    </row>
    <row r="77">
      <c r="A77" s="7"/>
      <c r="B77" s="28" t="s">
        <v>248</v>
      </c>
      <c r="C77" s="12" t="s">
        <v>18</v>
      </c>
      <c r="D77" s="28" t="s">
        <v>941</v>
      </c>
      <c r="E77" s="36" t="str">
        <f>HYPERLINK("https://youtu.be/DH_yUJgDvJQ?t=3601","channel 1")</f>
        <v>channel 1</v>
      </c>
    </row>
    <row r="78">
      <c r="A78" s="7"/>
      <c r="B78" s="28" t="s">
        <v>942</v>
      </c>
      <c r="C78" s="12" t="s">
        <v>77</v>
      </c>
      <c r="D78" s="28" t="s">
        <v>243</v>
      </c>
      <c r="E78" s="13" t="str">
        <f>HYPERLINK("https://youtu.be/6uAe1V861TQ?t=3708","channel 2")</f>
        <v>channel 2</v>
      </c>
    </row>
    <row r="79">
      <c r="A79" s="7"/>
      <c r="B79" s="28" t="s">
        <v>243</v>
      </c>
      <c r="C79" s="12" t="s">
        <v>758</v>
      </c>
      <c r="D79" s="28" t="s">
        <v>939</v>
      </c>
      <c r="E79" s="36" t="str">
        <f>HYPERLINK("https://youtu.be/DH_yUJgDvJQ?t=4515","channel 1")</f>
        <v>channel 1</v>
      </c>
    </row>
    <row r="80">
      <c r="A80" s="7"/>
      <c r="B80" s="28" t="s">
        <v>942</v>
      </c>
      <c r="C80" s="12" t="s">
        <v>148</v>
      </c>
      <c r="D80" s="28" t="s">
        <v>941</v>
      </c>
      <c r="E80" s="13" t="str">
        <f>HYPERLINK("https://youtu.be/6uAe1V861TQ?t=4584","channel 2")</f>
        <v>channel 2</v>
      </c>
    </row>
    <row r="81">
      <c r="A81" s="7"/>
      <c r="B81" s="28" t="s">
        <v>939</v>
      </c>
      <c r="C81" s="12" t="s">
        <v>268</v>
      </c>
      <c r="D81" s="28" t="s">
        <v>248</v>
      </c>
      <c r="E81" s="36" t="str">
        <f>HYPERLINK("https://youtu.be/DH_yUJgDvJQ?t=5407","channel 1")</f>
        <v>channel 1</v>
      </c>
    </row>
    <row r="82">
      <c r="A82" s="7"/>
      <c r="B82" s="28" t="s">
        <v>243</v>
      </c>
      <c r="C82" s="12" t="s">
        <v>309</v>
      </c>
      <c r="D82" s="28" t="s">
        <v>941</v>
      </c>
      <c r="E82" s="13" t="str">
        <f>HYPERLINK("https://youtu.be/6uAe1V861TQ?t=5468","channel 2")</f>
        <v>channel 2</v>
      </c>
    </row>
    <row r="83">
      <c r="A83" s="7"/>
      <c r="B83" s="28" t="s">
        <v>942</v>
      </c>
      <c r="C83" s="12" t="s">
        <v>93</v>
      </c>
      <c r="D83" s="28" t="s">
        <v>248</v>
      </c>
      <c r="E83" s="36" t="str">
        <f>HYPERLINK("https://youtu.be/DH_yUJgDvJQ?t=6304","channel 1")</f>
        <v>channel 1</v>
      </c>
    </row>
    <row r="84">
      <c r="A84" s="7"/>
      <c r="B84" s="28" t="s">
        <v>939</v>
      </c>
      <c r="C84" s="12" t="s">
        <v>99</v>
      </c>
      <c r="D84" s="28" t="s">
        <v>941</v>
      </c>
      <c r="E84" s="13" t="str">
        <f>HYPERLINK("https://youtu.be/6uAe1V861TQ?t=6393","channel 2")</f>
        <v>channel 2</v>
      </c>
    </row>
    <row r="85">
      <c r="A85" s="7"/>
      <c r="B85" s="28" t="s">
        <v>243</v>
      </c>
      <c r="C85" s="12" t="s">
        <v>127</v>
      </c>
      <c r="D85" s="28" t="s">
        <v>248</v>
      </c>
      <c r="E85" s="36" t="str">
        <f>HYPERLINK("https://youtu.be/DH_yUJgDvJQ?t=7212","channel 1")</f>
        <v>channel 1</v>
      </c>
    </row>
    <row r="86">
      <c r="A86" s="7"/>
      <c r="B86" s="28" t="s">
        <v>939</v>
      </c>
      <c r="C86" s="12" t="s">
        <v>145</v>
      </c>
      <c r="D86" s="28" t="s">
        <v>942</v>
      </c>
      <c r="E86" s="13" t="str">
        <f>HYPERLINK("https://youtu.be/6uAe1V861TQ?t=7299","channel 2")</f>
        <v>channel 2</v>
      </c>
    </row>
    <row r="87">
      <c r="A87" s="7"/>
      <c r="B87" s="28" t="s">
        <v>941</v>
      </c>
      <c r="C87" s="12" t="s">
        <v>160</v>
      </c>
      <c r="D87" s="28" t="s">
        <v>248</v>
      </c>
      <c r="E87" s="36" t="str">
        <f>HYPERLINK("https://youtu.be/DH_yUJgDvJQ?t=8067","channel 1")</f>
        <v>channel 1</v>
      </c>
    </row>
    <row r="88">
      <c r="A88" s="25"/>
      <c r="B88" s="28" t="s">
        <v>243</v>
      </c>
      <c r="C88" s="12" t="s">
        <v>571</v>
      </c>
      <c r="D88" s="28" t="s">
        <v>942</v>
      </c>
      <c r="E88" s="13" t="str">
        <f>HYPERLINK("https://youtu.be/6uAe1V861TQ?t=8159","channel 2")</f>
        <v>channel 2</v>
      </c>
    </row>
    <row r="89">
      <c r="B89" s="2" t="s">
        <v>287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949</v>
      </c>
      <c r="C91" s="12" t="s">
        <v>32</v>
      </c>
      <c r="D91" s="28" t="s">
        <v>950</v>
      </c>
      <c r="E91" s="36" t="str">
        <f>HYPERLINK("https://youtu.be/95KxGL-YXsw","channel 1")</f>
        <v>channel 1</v>
      </c>
    </row>
    <row r="92">
      <c r="B92" s="28" t="s">
        <v>951</v>
      </c>
      <c r="C92" s="12" t="s">
        <v>82</v>
      </c>
      <c r="D92" s="28" t="s">
        <v>875</v>
      </c>
      <c r="E92" s="13" t="str">
        <f>HYPERLINK("https://youtu.be/eKMckF7I7ok","channel 2")</f>
        <v>channel 2</v>
      </c>
    </row>
    <row r="93">
      <c r="B93" s="28" t="s">
        <v>950</v>
      </c>
      <c r="C93" s="12" t="s">
        <v>477</v>
      </c>
      <c r="D93" s="28" t="s">
        <v>949</v>
      </c>
      <c r="E93" s="36" t="str">
        <f>HYPERLINK("https://youtu.be/95KxGL-YXsw?t=1946","channel 1")</f>
        <v>channel 1</v>
      </c>
    </row>
    <row r="94">
      <c r="B94" s="28" t="s">
        <v>875</v>
      </c>
      <c r="C94" s="12" t="s">
        <v>871</v>
      </c>
      <c r="D94" s="28" t="s">
        <v>951</v>
      </c>
      <c r="E94" s="13" t="str">
        <f>HYPERLINK("https://youtu.be/eKMckF7I7ok?t=2119","channel 2")</f>
        <v>channel 2</v>
      </c>
    </row>
    <row r="95">
      <c r="B95" s="28" t="s">
        <v>875</v>
      </c>
      <c r="C95" s="12" t="s">
        <v>180</v>
      </c>
      <c r="D95" s="28" t="s">
        <v>263</v>
      </c>
      <c r="E95" s="36" t="str">
        <f>HYPERLINK("https://youtu.be/95KxGL-YXsw?t=3106","channel 1")</f>
        <v>channel 1</v>
      </c>
    </row>
    <row r="96">
      <c r="B96" s="28" t="s">
        <v>951</v>
      </c>
      <c r="C96" s="12" t="s">
        <v>24</v>
      </c>
      <c r="D96" s="28" t="s">
        <v>950</v>
      </c>
      <c r="E96" s="13" t="str">
        <f>HYPERLINK("https://youtu.be/eKMckF7I7ok?t=3110","channel 2")</f>
        <v>channel 2</v>
      </c>
    </row>
    <row r="97">
      <c r="B97" s="28" t="s">
        <v>949</v>
      </c>
      <c r="C97" s="12" t="s">
        <v>228</v>
      </c>
      <c r="D97" s="28" t="s">
        <v>263</v>
      </c>
      <c r="E97" s="36" t="str">
        <f>HYPERLINK("https://youtu.be/95KxGL-YXsw?t=3973","channel 1")</f>
        <v>channel 1</v>
      </c>
    </row>
    <row r="98">
      <c r="B98" s="28" t="s">
        <v>950</v>
      </c>
      <c r="C98" s="12" t="s">
        <v>645</v>
      </c>
      <c r="D98" s="28" t="s">
        <v>875</v>
      </c>
      <c r="E98" s="13" t="str">
        <f>HYPERLINK("https://youtu.be/eKMckF7I7ok?t=3933","channel 2")</f>
        <v>channel 2</v>
      </c>
    </row>
    <row r="99">
      <c r="B99" s="28" t="s">
        <v>949</v>
      </c>
      <c r="C99" s="12" t="s">
        <v>109</v>
      </c>
      <c r="D99" s="28" t="s">
        <v>951</v>
      </c>
      <c r="E99" s="36" t="str">
        <f>HYPERLINK("https://youtu.be/95KxGL-YXsw?t=4978","channel 1")</f>
        <v>channel 1</v>
      </c>
    </row>
    <row r="100">
      <c r="B100" s="28" t="s">
        <v>950</v>
      </c>
      <c r="C100" s="12" t="s">
        <v>168</v>
      </c>
      <c r="D100" s="28" t="s">
        <v>263</v>
      </c>
      <c r="E100" s="13" t="str">
        <f>HYPERLINK("https://youtu.be/eKMckF7I7ok?t=5261","channel 2")</f>
        <v>channel 2</v>
      </c>
    </row>
    <row r="101">
      <c r="B101" s="28" t="s">
        <v>263</v>
      </c>
      <c r="C101" s="12" t="s">
        <v>104</v>
      </c>
      <c r="D101" s="28" t="s">
        <v>875</v>
      </c>
      <c r="E101" s="36" t="str">
        <f>HYPERLINK("https://youtu.be/95KxGL-YXsw?t=6126","channel 1")</f>
        <v>channel 1</v>
      </c>
    </row>
    <row r="102">
      <c r="B102" s="28" t="s">
        <v>950</v>
      </c>
      <c r="C102" s="12" t="s">
        <v>34</v>
      </c>
      <c r="D102" s="28" t="s">
        <v>951</v>
      </c>
      <c r="E102" s="13" t="str">
        <f>HYPERLINK("https://youtu.be/eKMckF7I7ok?t=6098","channel 2")</f>
        <v>channel 2</v>
      </c>
    </row>
    <row r="103">
      <c r="B103" s="28" t="s">
        <v>875</v>
      </c>
      <c r="C103" s="12" t="s">
        <v>188</v>
      </c>
      <c r="D103" s="28" t="s">
        <v>949</v>
      </c>
      <c r="E103" s="36" t="str">
        <f>HYPERLINK("https://youtu.be/95KxGL-YXsw?t=7102","channel 1")</f>
        <v>channel 1</v>
      </c>
    </row>
    <row r="104">
      <c r="B104" s="28" t="s">
        <v>263</v>
      </c>
      <c r="C104" s="12" t="s">
        <v>46</v>
      </c>
      <c r="D104" s="28" t="s">
        <v>951</v>
      </c>
      <c r="E104" s="13" t="str">
        <f>HYPERLINK("https://youtu.be/eKMckF7I7ok?t=7011","channel 2")</f>
        <v>channel 2</v>
      </c>
    </row>
    <row r="105">
      <c r="B105" s="28" t="s">
        <v>949</v>
      </c>
      <c r="C105" s="12" t="s">
        <v>180</v>
      </c>
      <c r="D105" s="28" t="s">
        <v>875</v>
      </c>
      <c r="E105" s="36" t="str">
        <f>HYPERLINK("https://youtu.be/95KxGL-YXsw?t=7981","channel 1")</f>
        <v>channel 1</v>
      </c>
    </row>
    <row r="106">
      <c r="B106" s="28" t="s">
        <v>951</v>
      </c>
      <c r="C106" s="12" t="s">
        <v>74</v>
      </c>
      <c r="D106" s="28" t="s">
        <v>263</v>
      </c>
      <c r="E106" s="13" t="str">
        <f>HYPERLINK("https://youtu.be/eKMckF7I7ok?t=7843","channel 2")</f>
        <v>channel 2</v>
      </c>
    </row>
    <row r="107">
      <c r="B107" s="28" t="s">
        <v>263</v>
      </c>
      <c r="C107" s="12" t="s">
        <v>952</v>
      </c>
      <c r="D107" s="28" t="s">
        <v>949</v>
      </c>
      <c r="E107" s="36" t="str">
        <f>HYPERLINK("https://youtu.be/95KxGL-YXsw?t=8931","channel 1")</f>
        <v>channel 1</v>
      </c>
    </row>
    <row r="108">
      <c r="B108" s="28" t="s">
        <v>875</v>
      </c>
      <c r="C108" s="12" t="s">
        <v>311</v>
      </c>
      <c r="D108" s="28" t="s">
        <v>950</v>
      </c>
      <c r="E108" s="13" t="str">
        <f>HYPERLINK("https://youtu.be/eKMckF7I7ok?t=8829","channel 2")</f>
        <v>channel 2</v>
      </c>
    </row>
    <row r="109">
      <c r="B109" s="28" t="s">
        <v>951</v>
      </c>
      <c r="C109" s="12" t="s">
        <v>34</v>
      </c>
      <c r="D109" s="28" t="s">
        <v>949</v>
      </c>
      <c r="E109" s="36" t="str">
        <f>HYPERLINK("https://youtu.be/95KxGL-YXsw?t=9883","channel 1")</f>
        <v>channel 1</v>
      </c>
    </row>
    <row r="110">
      <c r="B110" s="28" t="s">
        <v>263</v>
      </c>
      <c r="C110" s="12" t="s">
        <v>362</v>
      </c>
      <c r="D110" s="28" t="s">
        <v>950</v>
      </c>
      <c r="E110" s="13" t="str">
        <f>HYPERLINK("https://youtu.be/eKMckF7I7ok?t=9850","channel 2")</f>
        <v>channel 2</v>
      </c>
    </row>
    <row r="111">
      <c r="B111" s="2" t="s">
        <v>920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895</v>
      </c>
      <c r="C113" s="12" t="s">
        <v>311</v>
      </c>
      <c r="D113" s="28" t="s">
        <v>953</v>
      </c>
      <c r="E113" s="36" t="str">
        <f>HYPERLINK("https://youtu.be/YaIN5apbJR4","channel 1")</f>
        <v>channel 1</v>
      </c>
    </row>
    <row r="114">
      <c r="B114" s="28" t="s">
        <v>663</v>
      </c>
      <c r="C114" s="12" t="s">
        <v>34</v>
      </c>
      <c r="D114" s="28" t="s">
        <v>954</v>
      </c>
      <c r="E114" s="13" t="str">
        <f>HYPERLINK("https://youtu.be/lqeu2uwfA2Y","channel 2")</f>
        <v>channel 2</v>
      </c>
    </row>
    <row r="115">
      <c r="B115" s="28" t="s">
        <v>732</v>
      </c>
      <c r="C115" s="12" t="s">
        <v>277</v>
      </c>
      <c r="D115" s="28" t="s">
        <v>895</v>
      </c>
      <c r="E115" s="36" t="str">
        <f>HYPERLINK("https://youtu.be/YaIN5apbJR4?t=923","channel 1")</f>
        <v>channel 1</v>
      </c>
    </row>
    <row r="116">
      <c r="B116" s="28" t="s">
        <v>663</v>
      </c>
      <c r="C116" s="12" t="s">
        <v>141</v>
      </c>
      <c r="D116" s="28" t="s">
        <v>953</v>
      </c>
      <c r="E116" s="13" t="str">
        <f>HYPERLINK("https://youtu.be/lqeu2uwfA2Y?t=938","channel 2")</f>
        <v>channel 2</v>
      </c>
    </row>
    <row r="117">
      <c r="B117" s="28" t="s">
        <v>732</v>
      </c>
      <c r="C117" s="12" t="s">
        <v>132</v>
      </c>
      <c r="D117" s="28" t="s">
        <v>954</v>
      </c>
      <c r="E117" s="36" t="str">
        <f>HYPERLINK("https://youtu.be/YaIN5apbJR4?t=1832","channel 1")</f>
        <v>channel 1</v>
      </c>
    </row>
    <row r="118">
      <c r="B118" s="28" t="s">
        <v>663</v>
      </c>
      <c r="C118" s="12" t="s">
        <v>204</v>
      </c>
      <c r="D118" s="28" t="s">
        <v>895</v>
      </c>
      <c r="E118" s="13" t="str">
        <f>HYPERLINK("https://youtu.be/lqeu2uwfA2Y?t=1876","channel 2")</f>
        <v>channel 2</v>
      </c>
    </row>
    <row r="119">
      <c r="B119" s="28" t="s">
        <v>732</v>
      </c>
      <c r="C119" s="12" t="s">
        <v>180</v>
      </c>
      <c r="D119" s="28" t="s">
        <v>953</v>
      </c>
      <c r="E119" s="36" t="str">
        <f>HYPERLINK("https://youtu.be/YaIN5apbJR4?t=2700","channel 1")</f>
        <v>channel 1</v>
      </c>
    </row>
    <row r="120">
      <c r="B120" s="28" t="s">
        <v>954</v>
      </c>
      <c r="C120" s="12" t="s">
        <v>77</v>
      </c>
      <c r="D120" s="28" t="s">
        <v>895</v>
      </c>
      <c r="E120" s="13" t="str">
        <f>HYPERLINK("https://youtu.be/lqeu2uwfA2Y?t=2758","channel 2")</f>
        <v>channel 2</v>
      </c>
    </row>
    <row r="121">
      <c r="B121" s="28" t="s">
        <v>732</v>
      </c>
      <c r="C121" s="12" t="s">
        <v>770</v>
      </c>
      <c r="D121" s="28" t="s">
        <v>663</v>
      </c>
      <c r="E121" s="36" t="str">
        <f>HYPERLINK("https://youtu.be/YaIN5apbJR4?t=3579","channel 1")</f>
        <v>channel 1</v>
      </c>
    </row>
    <row r="122">
      <c r="B122" s="28" t="s">
        <v>954</v>
      </c>
      <c r="C122" s="12" t="s">
        <v>871</v>
      </c>
      <c r="D122" s="28" t="s">
        <v>953</v>
      </c>
      <c r="E122" s="13" t="str">
        <f>HYPERLINK("https://youtu.be/lqeu2uwfA2Y?t=3661","channel 2")</f>
        <v>channel 2</v>
      </c>
    </row>
    <row r="123">
      <c r="B123" s="28" t="s">
        <v>953</v>
      </c>
      <c r="C123" s="12" t="s">
        <v>77</v>
      </c>
      <c r="D123" s="28" t="s">
        <v>895</v>
      </c>
      <c r="E123" s="36" t="str">
        <f>HYPERLINK("https://youtu.be/YaIN5apbJR4?t=4462","channel 1")</f>
        <v>channel 1</v>
      </c>
    </row>
    <row r="124">
      <c r="B124" s="28" t="s">
        <v>954</v>
      </c>
      <c r="C124" s="12" t="s">
        <v>623</v>
      </c>
      <c r="D124" s="28" t="s">
        <v>663</v>
      </c>
      <c r="E124" s="13" t="str">
        <f>HYPERLINK("https://youtu.be/lqeu2uwfA2Y?t=3661","channel 2")</f>
        <v>channel 2</v>
      </c>
    </row>
    <row r="125">
      <c r="B125" s="28" t="s">
        <v>895</v>
      </c>
      <c r="C125" s="12" t="s">
        <v>337</v>
      </c>
      <c r="D125" s="28" t="s">
        <v>732</v>
      </c>
      <c r="E125" s="36" t="str">
        <f>HYPERLINK("https://youtu.be/YaIN5apbJR4?t=5482","channel 1")</f>
        <v>channel 1</v>
      </c>
    </row>
    <row r="126">
      <c r="B126" s="28" t="s">
        <v>953</v>
      </c>
      <c r="C126" s="12" t="s">
        <v>106</v>
      </c>
      <c r="D126" s="28" t="s">
        <v>663</v>
      </c>
      <c r="E126" s="13" t="str">
        <f>HYPERLINK("https://youtu.be/lqeu2uwfA2Y?t=5391","channel 2")</f>
        <v>channel 2</v>
      </c>
    </row>
    <row r="127">
      <c r="B127" s="28" t="s">
        <v>954</v>
      </c>
      <c r="C127" s="12" t="s">
        <v>277</v>
      </c>
      <c r="D127" s="28" t="s">
        <v>732</v>
      </c>
      <c r="E127" s="36" t="str">
        <f>HYPERLINK("https://youtu.be/YaIN5apbJR4?t=6502","channel 1")</f>
        <v>channel 1</v>
      </c>
    </row>
    <row r="128">
      <c r="B128" s="28" t="s">
        <v>895</v>
      </c>
      <c r="C128" s="12" t="s">
        <v>55</v>
      </c>
      <c r="D128" s="28" t="s">
        <v>663</v>
      </c>
      <c r="E128" s="13" t="str">
        <f>HYPERLINK("https://youtu.be/lqeu2uwfA2Y?t=6498","channel 2")</f>
        <v>channel 2</v>
      </c>
    </row>
    <row r="129">
      <c r="B129" s="28" t="s">
        <v>953</v>
      </c>
      <c r="C129" s="12" t="s">
        <v>922</v>
      </c>
      <c r="D129" s="28" t="s">
        <v>732</v>
      </c>
      <c r="E129" s="36" t="str">
        <f>HYPERLINK("https://youtu.be/YaIN5apbJR4?t=7426","channel 1")</f>
        <v>channel 1</v>
      </c>
    </row>
    <row r="130">
      <c r="B130" s="28" t="s">
        <v>895</v>
      </c>
      <c r="C130" s="12" t="s">
        <v>34</v>
      </c>
      <c r="D130" s="28" t="s">
        <v>954</v>
      </c>
      <c r="E130" s="13" t="str">
        <f>HYPERLINK("https://youtu.be/lqeu2uwfA2Y?t=7419","channel 2")</f>
        <v>channel 2</v>
      </c>
    </row>
    <row r="131">
      <c r="B131" s="28" t="s">
        <v>663</v>
      </c>
      <c r="C131" s="12" t="s">
        <v>138</v>
      </c>
      <c r="D131" s="28" t="s">
        <v>732</v>
      </c>
      <c r="E131" s="36" t="str">
        <f>HYPERLINK("https://youtu.be/YaIN5apbJR4?t=8363","channel 1")</f>
        <v>channel 1</v>
      </c>
    </row>
    <row r="132">
      <c r="B132" s="28" t="s">
        <v>953</v>
      </c>
      <c r="C132" s="12" t="s">
        <v>32</v>
      </c>
      <c r="D132" s="28" t="s">
        <v>954</v>
      </c>
      <c r="E132" s="13" t="str">
        <f>HYPERLINK("https://youtu.be/lqeu2uwfA2Y?t=8431","channel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955</v>
      </c>
      <c r="C3" s="12" t="s">
        <v>956</v>
      </c>
      <c r="D3" s="28" t="s">
        <v>957</v>
      </c>
      <c r="E3" s="36" t="str">
        <f>HYPERLINK("https://youtu.be/oZoAMQI_dFA","channel 1")</f>
        <v>channel 1</v>
      </c>
    </row>
    <row r="4">
      <c r="A4" s="7"/>
      <c r="B4" s="28" t="s">
        <v>606</v>
      </c>
      <c r="C4" s="37" t="s">
        <v>180</v>
      </c>
      <c r="D4" s="28" t="s">
        <v>958</v>
      </c>
      <c r="E4" s="13" t="str">
        <f>HYPERLINK("https://youtu.be/rXGjJrBiOXg","channel 2")</f>
        <v>channel 2</v>
      </c>
    </row>
    <row r="5">
      <c r="A5" s="7"/>
      <c r="B5" s="28" t="s">
        <v>959</v>
      </c>
      <c r="C5" s="12" t="s">
        <v>460</v>
      </c>
      <c r="D5" s="28" t="s">
        <v>955</v>
      </c>
      <c r="E5" s="36" t="str">
        <f>HYPERLINK("https://youtu.be/oZoAMQI_dFA?t=1021","channel 1")</f>
        <v>channel 1</v>
      </c>
    </row>
    <row r="6">
      <c r="A6" s="7"/>
      <c r="B6" s="28" t="s">
        <v>606</v>
      </c>
      <c r="C6" s="12" t="s">
        <v>113</v>
      </c>
      <c r="D6" s="28" t="s">
        <v>957</v>
      </c>
      <c r="E6" s="13" t="str">
        <f>HYPERLINK("https://youtu.be/rXGjJrBiOXg?t=911","channel 2")</f>
        <v>channel 2</v>
      </c>
    </row>
    <row r="7">
      <c r="A7" s="7"/>
      <c r="B7" s="28" t="s">
        <v>959</v>
      </c>
      <c r="C7" s="12" t="s">
        <v>145</v>
      </c>
      <c r="D7" s="28" t="s">
        <v>958</v>
      </c>
      <c r="E7" s="36" t="str">
        <f>HYPERLINK("https://youtu.be/oZoAMQI_dFA?t=2047","channel 1")</f>
        <v>channel 1</v>
      </c>
    </row>
    <row r="8">
      <c r="A8" s="7"/>
      <c r="B8" s="28" t="s">
        <v>606</v>
      </c>
      <c r="C8" s="12" t="s">
        <v>47</v>
      </c>
      <c r="D8" s="28" t="s">
        <v>955</v>
      </c>
      <c r="E8" s="13" t="str">
        <f>HYPERLINK("https://youtu.be/rXGjJrBiOXg?t=2019","channel 2")</f>
        <v>channel 2</v>
      </c>
    </row>
    <row r="9">
      <c r="A9" s="7"/>
      <c r="B9" s="28" t="s">
        <v>959</v>
      </c>
      <c r="C9" s="12" t="s">
        <v>398</v>
      </c>
      <c r="D9" s="28" t="s">
        <v>957</v>
      </c>
      <c r="E9" s="36" t="str">
        <f>HYPERLINK("https://youtu.be/oZoAMQI_dFA?t=2981","channel 1")</f>
        <v>channel 1</v>
      </c>
    </row>
    <row r="10">
      <c r="A10" s="7"/>
      <c r="B10" s="28" t="s">
        <v>958</v>
      </c>
      <c r="C10" s="12" t="s">
        <v>93</v>
      </c>
      <c r="D10" s="28" t="s">
        <v>955</v>
      </c>
      <c r="E10" s="13" t="str">
        <f>HYPERLINK("https://youtu.be/rXGjJrBiOXg?t=2996","channel 2")</f>
        <v>channel 2</v>
      </c>
    </row>
    <row r="11">
      <c r="A11" s="7"/>
      <c r="B11" s="28" t="s">
        <v>959</v>
      </c>
      <c r="C11" s="12" t="s">
        <v>460</v>
      </c>
      <c r="D11" s="28" t="s">
        <v>606</v>
      </c>
      <c r="E11" s="36" t="str">
        <f>HYPERLINK("https://youtu.be/oZoAMQI_dFA?t=3944","channel 1")</f>
        <v>channel 1</v>
      </c>
    </row>
    <row r="12">
      <c r="A12" s="7"/>
      <c r="B12" s="28" t="s">
        <v>958</v>
      </c>
      <c r="C12" s="12" t="s">
        <v>219</v>
      </c>
      <c r="D12" s="28" t="s">
        <v>957</v>
      </c>
      <c r="E12" s="13" t="str">
        <f>HYPERLINK("https://youtu.be/rXGjJrBiOXg?t=3933","channel 2")</f>
        <v>channel 2</v>
      </c>
    </row>
    <row r="13">
      <c r="A13" s="7"/>
      <c r="B13" s="28" t="s">
        <v>957</v>
      </c>
      <c r="C13" s="12" t="s">
        <v>461</v>
      </c>
      <c r="D13" s="28" t="s">
        <v>955</v>
      </c>
      <c r="E13" s="36" t="str">
        <f>HYPERLINK("https://youtu.be/oZoAMQI_dFA?t=4930","channel 1")</f>
        <v>channel 1</v>
      </c>
    </row>
    <row r="14">
      <c r="A14" s="7"/>
      <c r="B14" s="28" t="s">
        <v>958</v>
      </c>
      <c r="C14" s="12" t="s">
        <v>373</v>
      </c>
      <c r="D14" s="28" t="s">
        <v>606</v>
      </c>
      <c r="E14" s="13" t="str">
        <f>HYPERLINK("https://youtu.be/rXGjJrBiOXg?t=4875","channel 2")</f>
        <v>channel 2</v>
      </c>
    </row>
    <row r="15">
      <c r="A15" s="7"/>
      <c r="B15" s="28" t="s">
        <v>955</v>
      </c>
      <c r="C15" s="12" t="s">
        <v>261</v>
      </c>
      <c r="D15" s="28" t="s">
        <v>959</v>
      </c>
      <c r="E15" s="36" t="str">
        <f>HYPERLINK("https://youtu.be/oZoAMQI_dFA?t=5922","channel 1")</f>
        <v>channel 1</v>
      </c>
    </row>
    <row r="16">
      <c r="A16" s="7"/>
      <c r="B16" s="28" t="s">
        <v>957</v>
      </c>
      <c r="C16" s="12" t="s">
        <v>61</v>
      </c>
      <c r="D16" s="28" t="s">
        <v>606</v>
      </c>
      <c r="E16" s="13" t="str">
        <f>HYPERLINK("https://youtu.be/rXGjJrBiOXg?t=5857","channel 2")</f>
        <v>channel 2</v>
      </c>
    </row>
    <row r="17">
      <c r="A17" s="7"/>
      <c r="B17" s="28" t="s">
        <v>958</v>
      </c>
      <c r="C17" s="12" t="s">
        <v>55</v>
      </c>
      <c r="D17" s="28" t="s">
        <v>959</v>
      </c>
      <c r="E17" s="36" t="str">
        <f>HYPERLINK("https://youtu.be/oZoAMQI_dFA?t=6913","channel 1")</f>
        <v>channel 1</v>
      </c>
    </row>
    <row r="18">
      <c r="A18" s="7"/>
      <c r="B18" s="28" t="s">
        <v>955</v>
      </c>
      <c r="C18" s="12" t="s">
        <v>960</v>
      </c>
      <c r="D18" s="28" t="s">
        <v>606</v>
      </c>
      <c r="E18" s="13" t="str">
        <f>HYPERLINK("https://youtu.be/rXGjJrBiOXg?t=6882","channel 2")</f>
        <v>channel 2</v>
      </c>
    </row>
    <row r="19">
      <c r="A19" s="7"/>
      <c r="B19" s="28" t="s">
        <v>957</v>
      </c>
      <c r="C19" s="12" t="s">
        <v>138</v>
      </c>
      <c r="D19" s="28" t="s">
        <v>959</v>
      </c>
      <c r="E19" s="36" t="str">
        <f>HYPERLINK("https://youtu.be/oZoAMQI_dFA?t=7956","channel 1")</f>
        <v>channel 1</v>
      </c>
    </row>
    <row r="20">
      <c r="A20" s="7"/>
      <c r="B20" s="28" t="s">
        <v>955</v>
      </c>
      <c r="C20" s="12" t="s">
        <v>10</v>
      </c>
      <c r="D20" s="28" t="s">
        <v>958</v>
      </c>
      <c r="E20" s="13" t="str">
        <f>HYPERLINK("https://youtu.be/rXGjJrBiOXg?t=7927","channel 2")</f>
        <v>channel 2</v>
      </c>
    </row>
    <row r="21">
      <c r="A21" s="7"/>
      <c r="B21" s="28" t="s">
        <v>606</v>
      </c>
      <c r="C21" s="12" t="s">
        <v>142</v>
      </c>
      <c r="D21" s="28" t="s">
        <v>959</v>
      </c>
      <c r="E21" s="36" t="str">
        <f>HYPERLINK("https://youtu.be/oZoAMQI_dFA?t=8920","channel 1")</f>
        <v>channel 1</v>
      </c>
    </row>
    <row r="22">
      <c r="A22" s="7"/>
      <c r="B22" s="28" t="s">
        <v>957</v>
      </c>
      <c r="C22" s="12" t="s">
        <v>142</v>
      </c>
      <c r="D22" s="28" t="s">
        <v>958</v>
      </c>
      <c r="E22" s="13" t="str">
        <f>HYPERLINK("https://youtu.be/rXGjJrBiOXg?t=8862","channel 2")</f>
        <v>channel 2</v>
      </c>
    </row>
    <row r="23">
      <c r="A23" s="7"/>
      <c r="B23" s="2" t="s">
        <v>64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961</v>
      </c>
      <c r="C25" s="12" t="s">
        <v>80</v>
      </c>
      <c r="D25" s="28" t="s">
        <v>962</v>
      </c>
      <c r="E25" s="36" t="str">
        <f>HYPERLINK("https://youtu.be/Jn56EZZ0kbE","channel 1")</f>
        <v>channel 1</v>
      </c>
    </row>
    <row r="26">
      <c r="A26" s="7"/>
      <c r="B26" s="28" t="s">
        <v>963</v>
      </c>
      <c r="C26" s="12" t="s">
        <v>868</v>
      </c>
      <c r="D26" s="28" t="s">
        <v>964</v>
      </c>
      <c r="E26" s="13" t="str">
        <f>HYPERLINK("https://youtu.be/HASrE-OHPvM","channel 2")</f>
        <v>channel 2</v>
      </c>
    </row>
    <row r="27">
      <c r="A27" s="7"/>
      <c r="B27" s="28" t="s">
        <v>965</v>
      </c>
      <c r="C27" s="12" t="s">
        <v>97</v>
      </c>
      <c r="D27" s="28" t="s">
        <v>961</v>
      </c>
      <c r="E27" s="36" t="str">
        <f>HYPERLINK("https://youtu.be/Jn56EZZ0kbE?t=966","channel 1")</f>
        <v>channel 1</v>
      </c>
    </row>
    <row r="28">
      <c r="A28" s="7"/>
      <c r="B28" s="28" t="s">
        <v>963</v>
      </c>
      <c r="C28" s="12" t="s">
        <v>160</v>
      </c>
      <c r="D28" s="28" t="s">
        <v>962</v>
      </c>
      <c r="E28" s="13" t="str">
        <f>HYPERLINK("https://youtu.be/HASrE-OHPvM?t=1017","channel 2")</f>
        <v>channel 2</v>
      </c>
    </row>
    <row r="29">
      <c r="A29" s="7"/>
      <c r="B29" s="28" t="s">
        <v>965</v>
      </c>
      <c r="C29" s="12" t="s">
        <v>97</v>
      </c>
      <c r="D29" s="28" t="s">
        <v>964</v>
      </c>
      <c r="E29" s="36" t="str">
        <f>HYPERLINK("https://youtu.be/Jn56EZZ0kbE?t=1949","channel 1")</f>
        <v>channel 1</v>
      </c>
    </row>
    <row r="30">
      <c r="A30" s="7"/>
      <c r="B30" s="28" t="s">
        <v>963</v>
      </c>
      <c r="C30" s="12" t="s">
        <v>99</v>
      </c>
      <c r="D30" s="28" t="s">
        <v>961</v>
      </c>
      <c r="E30" s="13" t="str">
        <f>HYPERLINK("https://youtu.be/HASrE-OHPvM?t=2035","channel 2")</f>
        <v>channel 2</v>
      </c>
    </row>
    <row r="31">
      <c r="A31" s="7"/>
      <c r="B31" s="28" t="s">
        <v>965</v>
      </c>
      <c r="C31" s="12" t="s">
        <v>966</v>
      </c>
      <c r="D31" s="28" t="s">
        <v>962</v>
      </c>
      <c r="E31" s="36" t="str">
        <f>HYPERLINK("https://youtu.be/Jn56EZZ0kbE?t=2874","channel 1")</f>
        <v>channel 1</v>
      </c>
    </row>
    <row r="32">
      <c r="A32" s="7"/>
      <c r="B32" s="28" t="s">
        <v>964</v>
      </c>
      <c r="C32" s="12" t="s">
        <v>97</v>
      </c>
      <c r="D32" s="28" t="s">
        <v>961</v>
      </c>
      <c r="E32" s="13" t="str">
        <f>HYPERLINK("https://youtu.be/HASrE-OHPvM?t=2933","channel 2")</f>
        <v>channel 2</v>
      </c>
    </row>
    <row r="33">
      <c r="A33" s="7"/>
      <c r="B33" s="28" t="s">
        <v>965</v>
      </c>
      <c r="C33" s="12" t="s">
        <v>361</v>
      </c>
      <c r="D33" s="28" t="s">
        <v>963</v>
      </c>
      <c r="E33" s="36" t="str">
        <f>HYPERLINK("https://youtu.be/Jn56EZZ0kbE?t=3820","channel 1")</f>
        <v>channel 1</v>
      </c>
    </row>
    <row r="34">
      <c r="A34" s="7"/>
      <c r="B34" s="28" t="s">
        <v>964</v>
      </c>
      <c r="C34" s="12" t="s">
        <v>754</v>
      </c>
      <c r="D34" s="28" t="s">
        <v>962</v>
      </c>
      <c r="E34" s="13" t="str">
        <f>HYPERLINK("https://youtu.be/HASrE-OHPvM?t=3898","channel 2")</f>
        <v>channel 2</v>
      </c>
    </row>
    <row r="35">
      <c r="A35" s="7"/>
      <c r="B35" s="28" t="s">
        <v>962</v>
      </c>
      <c r="C35" s="12" t="s">
        <v>89</v>
      </c>
      <c r="D35" s="28" t="s">
        <v>961</v>
      </c>
      <c r="E35" s="36" t="str">
        <f>HYPERLINK("https://youtu.be/Jn56EZZ0kbE?t=4831","channel 1")</f>
        <v>channel 1</v>
      </c>
    </row>
    <row r="36">
      <c r="A36" s="7"/>
      <c r="B36" s="28" t="s">
        <v>964</v>
      </c>
      <c r="C36" s="12" t="s">
        <v>80</v>
      </c>
      <c r="D36" s="28" t="s">
        <v>963</v>
      </c>
      <c r="E36" s="13" t="str">
        <f>HYPERLINK("https://youtu.be/HASrE-OHPvM?t=4838","channel 2")</f>
        <v>channel 2</v>
      </c>
    </row>
    <row r="37">
      <c r="A37" s="7"/>
      <c r="B37" s="28" t="s">
        <v>961</v>
      </c>
      <c r="C37" s="12" t="s">
        <v>89</v>
      </c>
      <c r="D37" s="28" t="s">
        <v>965</v>
      </c>
      <c r="E37" s="36" t="str">
        <f>HYPERLINK("https://youtu.be/Jn56EZZ0kbE?t=5854","channel 1")</f>
        <v>channel 1</v>
      </c>
    </row>
    <row r="38">
      <c r="A38" s="7"/>
      <c r="B38" s="28" t="s">
        <v>962</v>
      </c>
      <c r="C38" s="12" t="s">
        <v>93</v>
      </c>
      <c r="D38" s="28" t="s">
        <v>963</v>
      </c>
      <c r="E38" s="13" t="str">
        <f>HYPERLINK("https://youtu.be/HASrE-OHPvM?t=5794","channel 2")</f>
        <v>channel 2</v>
      </c>
    </row>
    <row r="39">
      <c r="A39" s="7"/>
      <c r="B39" s="28" t="s">
        <v>964</v>
      </c>
      <c r="C39" s="18" t="s">
        <v>49</v>
      </c>
      <c r="D39" s="28" t="s">
        <v>965</v>
      </c>
      <c r="E39" s="36" t="str">
        <f>HYPERLINK("https://youtu.be/Jn56EZZ0kbE?t=6926","channel 1")</f>
        <v>channel 1</v>
      </c>
    </row>
    <row r="40">
      <c r="A40" s="7"/>
      <c r="B40" s="28" t="s">
        <v>961</v>
      </c>
      <c r="C40" s="12" t="s">
        <v>160</v>
      </c>
      <c r="D40" s="28" t="s">
        <v>963</v>
      </c>
      <c r="E40" s="13" t="str">
        <f>HYPERLINK("https://youtu.be/HASrE-OHPvM?t=6839","channel 2")</f>
        <v>channel 2</v>
      </c>
    </row>
    <row r="41">
      <c r="A41" s="7"/>
      <c r="B41" s="28" t="s">
        <v>962</v>
      </c>
      <c r="C41" s="12" t="s">
        <v>24</v>
      </c>
      <c r="D41" s="28" t="s">
        <v>965</v>
      </c>
      <c r="E41" s="36" t="str">
        <f>HYPERLINK("https://youtu.be/Jn56EZZ0kbE?t=7917","channel 1")</f>
        <v>channel 1</v>
      </c>
    </row>
    <row r="42">
      <c r="A42" s="7"/>
      <c r="B42" s="28" t="s">
        <v>961</v>
      </c>
      <c r="C42" s="12" t="s">
        <v>10</v>
      </c>
      <c r="D42" s="28" t="s">
        <v>964</v>
      </c>
      <c r="E42" s="13" t="str">
        <f>HYPERLINK("https://youtu.be/HASrE-OHPvM?t=7893","channel 2")</f>
        <v>channel 2</v>
      </c>
    </row>
    <row r="43">
      <c r="A43" s="7"/>
      <c r="B43" s="28" t="s">
        <v>963</v>
      </c>
      <c r="C43" s="12" t="s">
        <v>365</v>
      </c>
      <c r="D43" s="28" t="s">
        <v>965</v>
      </c>
      <c r="E43" s="36" t="str">
        <f>HYPERLINK("https://youtu.be/Jn56EZZ0kbE?t=8841","channel 1")</f>
        <v>channel 1</v>
      </c>
    </row>
    <row r="44">
      <c r="A44" s="7"/>
      <c r="B44" s="28" t="s">
        <v>962</v>
      </c>
      <c r="C44" s="12" t="s">
        <v>49</v>
      </c>
      <c r="D44" s="28" t="s">
        <v>964</v>
      </c>
      <c r="E44" s="13" t="str">
        <f>HYPERLINK("https://youtu.be/HASrE-OHPvM?t=8963","channel 2")</f>
        <v>channel 2</v>
      </c>
    </row>
    <row r="45">
      <c r="A45" s="7"/>
      <c r="B45" s="2" t="s">
        <v>971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678</v>
      </c>
      <c r="C47" s="12" t="s">
        <v>108</v>
      </c>
      <c r="D47" s="28" t="s">
        <v>972</v>
      </c>
      <c r="E47" s="36" t="str">
        <f>HYPERLINK("https://youtu.be/VxJ4WNscOd8","channel 1")</f>
        <v>channel 1</v>
      </c>
    </row>
    <row r="48">
      <c r="A48" s="7"/>
      <c r="B48" s="28" t="s">
        <v>606</v>
      </c>
      <c r="C48" s="12" t="s">
        <v>34</v>
      </c>
      <c r="D48" s="28" t="s">
        <v>973</v>
      </c>
      <c r="E48" s="13" t="str">
        <f>HYPERLINK("https://youtu.be/1DXcpr1CQCk","channel 2")</f>
        <v>channel 2</v>
      </c>
    </row>
    <row r="49">
      <c r="A49" s="7"/>
      <c r="B49" s="28" t="s">
        <v>614</v>
      </c>
      <c r="C49" s="12" t="s">
        <v>212</v>
      </c>
      <c r="D49" s="28" t="s">
        <v>678</v>
      </c>
      <c r="E49" s="36" t="str">
        <f>HYPERLINK("https://youtu.be/VxJ4WNscOd8?t=808","channel 1")</f>
        <v>channel 1</v>
      </c>
    </row>
    <row r="50">
      <c r="A50" s="7"/>
      <c r="B50" s="28" t="s">
        <v>606</v>
      </c>
      <c r="C50" s="12" t="s">
        <v>372</v>
      </c>
      <c r="D50" s="28" t="s">
        <v>972</v>
      </c>
      <c r="E50" s="13" t="str">
        <f>HYPERLINK("https://youtu.be/1DXcpr1CQCk?t=965","channel 2")</f>
        <v>channel 2</v>
      </c>
    </row>
    <row r="51">
      <c r="A51" s="7"/>
      <c r="B51" s="28" t="s">
        <v>614</v>
      </c>
      <c r="C51" s="12" t="s">
        <v>30</v>
      </c>
      <c r="D51" s="28" t="s">
        <v>973</v>
      </c>
      <c r="E51" s="36" t="str">
        <f>HYPERLINK("https://youtu.be/VxJ4WNscOd8?t=1789","channel 1")</f>
        <v>channel 1</v>
      </c>
    </row>
    <row r="52">
      <c r="A52" s="7"/>
      <c r="B52" s="28" t="s">
        <v>606</v>
      </c>
      <c r="C52" s="12" t="s">
        <v>38</v>
      </c>
      <c r="D52" s="28" t="s">
        <v>678</v>
      </c>
      <c r="E52" s="13" t="str">
        <f>HYPERLINK("https://youtu.be/1DXcpr1CQCk?t=1895","channel 2")</f>
        <v>channel 2</v>
      </c>
    </row>
    <row r="53">
      <c r="A53" s="7"/>
      <c r="B53" s="28" t="s">
        <v>614</v>
      </c>
      <c r="C53" s="12" t="s">
        <v>373</v>
      </c>
      <c r="D53" s="28" t="s">
        <v>972</v>
      </c>
      <c r="E53" s="36" t="str">
        <f>HYPERLINK("https://youtu.be/VxJ4WNscOd8?t=2705","channel 1")</f>
        <v>channel 1</v>
      </c>
    </row>
    <row r="54">
      <c r="A54" s="7"/>
      <c r="B54" s="28" t="s">
        <v>973</v>
      </c>
      <c r="C54" s="12" t="s">
        <v>228</v>
      </c>
      <c r="D54" s="28" t="s">
        <v>678</v>
      </c>
      <c r="E54" s="13" t="str">
        <f>HYPERLINK("https://youtu.be/1DXcpr1CQCk?t=2811","channel 2")</f>
        <v>channel 2</v>
      </c>
    </row>
    <row r="55">
      <c r="A55" s="7"/>
      <c r="B55" s="28" t="s">
        <v>614</v>
      </c>
      <c r="C55" s="12" t="s">
        <v>55</v>
      </c>
      <c r="D55" s="28" t="s">
        <v>606</v>
      </c>
      <c r="E55" s="36" t="str">
        <f>HYPERLINK("https://youtu.be/VxJ4WNscOd8?t=3555","channel 1")</f>
        <v>channel 1</v>
      </c>
    </row>
    <row r="56">
      <c r="A56" s="7"/>
      <c r="B56" s="28" t="s">
        <v>973</v>
      </c>
      <c r="C56" s="12" t="s">
        <v>184</v>
      </c>
      <c r="D56" s="28" t="s">
        <v>972</v>
      </c>
      <c r="E56" s="13" t="str">
        <f>HYPERLINK("https://youtu.be/1DXcpr1CQCk?t=3761","channel 2")</f>
        <v>channel 2</v>
      </c>
    </row>
    <row r="57">
      <c r="A57" s="7"/>
      <c r="B57" s="28" t="s">
        <v>972</v>
      </c>
      <c r="C57" s="12" t="s">
        <v>144</v>
      </c>
      <c r="D57" s="28" t="s">
        <v>678</v>
      </c>
      <c r="E57" s="36" t="str">
        <f>HYPERLINK("https://youtu.be/VxJ4WNscOd8?t=4541","channel 1")</f>
        <v>channel 1</v>
      </c>
    </row>
    <row r="58">
      <c r="A58" s="7"/>
      <c r="B58" s="28" t="s">
        <v>973</v>
      </c>
      <c r="C58" s="12" t="s">
        <v>124</v>
      </c>
      <c r="D58" s="28" t="s">
        <v>606</v>
      </c>
      <c r="E58" s="13" t="str">
        <f>HYPERLINK("https://youtu.be/1DXcpr1CQCk?t=4711","channel 2")</f>
        <v>channel 2</v>
      </c>
    </row>
    <row r="59">
      <c r="A59" s="7"/>
      <c r="B59" s="28" t="s">
        <v>678</v>
      </c>
      <c r="C59" s="12" t="s">
        <v>180</v>
      </c>
      <c r="D59" s="28" t="s">
        <v>614</v>
      </c>
      <c r="E59" s="36" t="str">
        <f>HYPERLINK("https://youtu.be/VxJ4WNscOd8?t=5360","channel 1")</f>
        <v>channel 1</v>
      </c>
    </row>
    <row r="60">
      <c r="A60" s="7"/>
      <c r="B60" s="28" t="s">
        <v>972</v>
      </c>
      <c r="C60" s="12" t="s">
        <v>276</v>
      </c>
      <c r="D60" s="28" t="s">
        <v>606</v>
      </c>
      <c r="E60" s="13" t="str">
        <f>HYPERLINK("https://youtu.be/1DXcpr1CQCk?t=5643","channel 2")</f>
        <v>channel 2</v>
      </c>
    </row>
    <row r="61">
      <c r="A61" s="7"/>
      <c r="B61" s="28" t="s">
        <v>973</v>
      </c>
      <c r="C61" s="12" t="s">
        <v>111</v>
      </c>
      <c r="D61" s="28" t="s">
        <v>614</v>
      </c>
      <c r="E61" s="36" t="str">
        <f>HYPERLINK("https://youtu.be/VxJ4WNscOd8?t=6289","channel 1")</f>
        <v>channel 1</v>
      </c>
    </row>
    <row r="62">
      <c r="A62" s="7"/>
      <c r="B62" s="28" t="s">
        <v>678</v>
      </c>
      <c r="C62" s="18" t="s">
        <v>133</v>
      </c>
      <c r="D62" s="28" t="s">
        <v>606</v>
      </c>
      <c r="E62" s="13" t="str">
        <f>HYPERLINK("https://youtu.be/1DXcpr1CQCk?t=6627","channel 2")</f>
        <v>channel 2</v>
      </c>
    </row>
    <row r="63">
      <c r="A63" s="7"/>
      <c r="B63" s="28" t="s">
        <v>972</v>
      </c>
      <c r="C63" s="12" t="s">
        <v>85</v>
      </c>
      <c r="D63" s="28" t="s">
        <v>614</v>
      </c>
      <c r="E63" s="36" t="str">
        <f>HYPERLINK("https://youtu.be/VxJ4WNscOd8?t=7175","channel 1")</f>
        <v>channel 1</v>
      </c>
    </row>
    <row r="64">
      <c r="A64" s="7"/>
      <c r="B64" s="28" t="s">
        <v>678</v>
      </c>
      <c r="C64" s="12" t="s">
        <v>87</v>
      </c>
      <c r="D64" s="28" t="s">
        <v>973</v>
      </c>
      <c r="E64" s="23" t="s">
        <v>28</v>
      </c>
    </row>
    <row r="65">
      <c r="A65" s="7"/>
      <c r="B65" s="28" t="s">
        <v>606</v>
      </c>
      <c r="C65" s="12" t="s">
        <v>671</v>
      </c>
      <c r="D65" s="28" t="s">
        <v>614</v>
      </c>
      <c r="E65" s="36" t="str">
        <f>HYPERLINK("https://youtu.be/VxJ4WNscOd8?t=8026","channel 1")</f>
        <v>channel 1</v>
      </c>
    </row>
    <row r="66">
      <c r="A66" s="7"/>
      <c r="B66" s="28" t="s">
        <v>972</v>
      </c>
      <c r="C66" s="12" t="s">
        <v>104</v>
      </c>
      <c r="D66" s="28" t="s">
        <v>973</v>
      </c>
      <c r="E66" s="23" t="s">
        <v>28</v>
      </c>
    </row>
    <row r="67">
      <c r="A67" s="7"/>
      <c r="B67" s="2" t="s">
        <v>386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205</v>
      </c>
      <c r="C69" s="12" t="s">
        <v>46</v>
      </c>
      <c r="D69" s="28" t="s">
        <v>979</v>
      </c>
      <c r="E69" s="36" t="str">
        <f>HYPERLINK("https://youtu.be/UwoXowq4Wu4","channel 1")</f>
        <v>channel 1</v>
      </c>
    </row>
    <row r="70">
      <c r="A70" s="7"/>
      <c r="B70" s="28" t="s">
        <v>980</v>
      </c>
      <c r="C70" s="12" t="s">
        <v>442</v>
      </c>
      <c r="D70" s="28" t="s">
        <v>981</v>
      </c>
      <c r="E70" s="13" t="str">
        <f>HYPERLINK("https://youtu.be/7JJRtVSYjaQ","channel 2")</f>
        <v>channel 2</v>
      </c>
    </row>
    <row r="71">
      <c r="A71" s="7"/>
      <c r="B71" s="28" t="s">
        <v>731</v>
      </c>
      <c r="C71" s="12" t="s">
        <v>761</v>
      </c>
      <c r="D71" s="28" t="s">
        <v>205</v>
      </c>
      <c r="E71" s="36" t="str">
        <f>HYPERLINK("https://youtu.be/UwoXowq4Wu4?t=884","channel 1")</f>
        <v>channel 1</v>
      </c>
    </row>
    <row r="72">
      <c r="A72" s="7"/>
      <c r="B72" s="28" t="s">
        <v>980</v>
      </c>
      <c r="C72" s="12" t="s">
        <v>99</v>
      </c>
      <c r="D72" s="28" t="s">
        <v>979</v>
      </c>
      <c r="E72" s="13" t="str">
        <f>HYPERLINK("https://youtu.be/7JJRtVSYjaQ?t=944","channel 2")</f>
        <v>channel 2</v>
      </c>
    </row>
    <row r="73">
      <c r="A73" s="7"/>
      <c r="B73" s="28" t="s">
        <v>731</v>
      </c>
      <c r="C73" s="12" t="s">
        <v>30</v>
      </c>
      <c r="D73" s="28" t="s">
        <v>981</v>
      </c>
      <c r="E73" s="36" t="str">
        <f>HYPERLINK("https://youtu.be/UwoXowq4Wu4?t=1835","channel 1")</f>
        <v>channel 1</v>
      </c>
    </row>
    <row r="74">
      <c r="A74" s="7"/>
      <c r="B74" s="28" t="s">
        <v>980</v>
      </c>
      <c r="C74" s="12" t="s">
        <v>85</v>
      </c>
      <c r="D74" s="28" t="s">
        <v>205</v>
      </c>
      <c r="E74" s="13" t="str">
        <f>HYPERLINK("https://youtu.be/7JJRtVSYjaQ?t=1872","channel 2")</f>
        <v>channel 2</v>
      </c>
    </row>
    <row r="75">
      <c r="A75" s="7"/>
      <c r="B75" s="28" t="s">
        <v>731</v>
      </c>
      <c r="C75" s="12" t="s">
        <v>322</v>
      </c>
      <c r="D75" s="28" t="s">
        <v>979</v>
      </c>
      <c r="E75" s="36" t="str">
        <f>HYPERLINK("https://youtu.be/UwoXowq4Wu4?t=2831","channel 1")</f>
        <v>channel 1</v>
      </c>
    </row>
    <row r="76">
      <c r="A76" s="7"/>
      <c r="B76" s="28" t="s">
        <v>981</v>
      </c>
      <c r="C76" s="12" t="s">
        <v>278</v>
      </c>
      <c r="D76" s="28" t="s">
        <v>205</v>
      </c>
      <c r="E76" s="13" t="str">
        <f>HYPERLINK("https://youtu.be/7JJRtVSYjaQ?t=2780","channel 2")</f>
        <v>channel 2</v>
      </c>
    </row>
    <row r="77">
      <c r="A77" s="7"/>
      <c r="B77" s="28" t="s">
        <v>731</v>
      </c>
      <c r="C77" s="12" t="s">
        <v>148</v>
      </c>
      <c r="D77" s="28" t="s">
        <v>980</v>
      </c>
      <c r="E77" s="36" t="str">
        <f>HYPERLINK("https://youtu.be/UwoXowq4Wu4?t=3701","channel 1")</f>
        <v>channel 1</v>
      </c>
    </row>
    <row r="78">
      <c r="A78" s="7"/>
      <c r="B78" s="28" t="s">
        <v>981</v>
      </c>
      <c r="C78" s="12" t="s">
        <v>138</v>
      </c>
      <c r="D78" s="28" t="s">
        <v>979</v>
      </c>
      <c r="E78" s="13" t="str">
        <f>HYPERLINK("https://youtu.be/7JJRtVSYjaQ?t=3730","channel 2")</f>
        <v>channel 2</v>
      </c>
    </row>
    <row r="79">
      <c r="A79" s="7"/>
      <c r="B79" s="28" t="s">
        <v>979</v>
      </c>
      <c r="C79" s="12" t="s">
        <v>10</v>
      </c>
      <c r="D79" s="28" t="s">
        <v>205</v>
      </c>
      <c r="E79" s="36" t="str">
        <f>HYPERLINK("https://youtu.be/UwoXowq4Wu4?t=4704","channel 1")</f>
        <v>channel 1</v>
      </c>
    </row>
    <row r="80">
      <c r="A80" s="7"/>
      <c r="B80" s="28" t="s">
        <v>981</v>
      </c>
      <c r="C80" s="12" t="s">
        <v>933</v>
      </c>
      <c r="D80" s="28" t="s">
        <v>980</v>
      </c>
      <c r="E80" s="13" t="str">
        <f>HYPERLINK("https://youtu.be/7JJRtVSYjaQ?t=4689","channel 2")</f>
        <v>channel 2</v>
      </c>
    </row>
    <row r="81">
      <c r="A81" s="7"/>
      <c r="B81" s="28" t="s">
        <v>205</v>
      </c>
      <c r="C81" s="12" t="s">
        <v>214</v>
      </c>
      <c r="D81" s="28" t="s">
        <v>731</v>
      </c>
      <c r="E81" s="36" t="str">
        <f>HYPERLINK("https://youtu.be/UwoXowq4Wu4?t=5557","channel 1")</f>
        <v>channel 1</v>
      </c>
    </row>
    <row r="82">
      <c r="A82" s="7"/>
      <c r="B82" s="28" t="s">
        <v>979</v>
      </c>
      <c r="C82" s="12" t="s">
        <v>759</v>
      </c>
      <c r="D82" s="28" t="s">
        <v>980</v>
      </c>
      <c r="E82" s="13" t="str">
        <f>HYPERLINK("https://youtu.be/7JJRtVSYjaQ?t=5706","channel 2")</f>
        <v>channel 2</v>
      </c>
    </row>
    <row r="83">
      <c r="A83" s="7"/>
      <c r="B83" s="28" t="s">
        <v>981</v>
      </c>
      <c r="C83" s="12" t="s">
        <v>132</v>
      </c>
      <c r="D83" s="28" t="s">
        <v>731</v>
      </c>
      <c r="E83" s="36" t="str">
        <f>HYPERLINK("https://youtu.be/UwoXowq4Wu4?t=6597","channel 1")</f>
        <v>channel 1</v>
      </c>
    </row>
    <row r="84">
      <c r="A84" s="7"/>
      <c r="B84" s="28" t="s">
        <v>205</v>
      </c>
      <c r="C84" s="12" t="s">
        <v>982</v>
      </c>
      <c r="D84" s="28" t="s">
        <v>980</v>
      </c>
      <c r="E84" s="13" t="str">
        <f>HYPERLINK("https://youtu.be/7JJRtVSYjaQ?t=6579","channel 2")</f>
        <v>channel 2</v>
      </c>
    </row>
    <row r="85">
      <c r="A85" s="7"/>
      <c r="B85" s="28" t="s">
        <v>979</v>
      </c>
      <c r="C85" s="12" t="s">
        <v>698</v>
      </c>
      <c r="D85" s="28" t="s">
        <v>731</v>
      </c>
      <c r="E85" s="36" t="str">
        <f>HYPERLINK("https://youtu.be/UwoXowq4Wu4?t=7439","channel 1")</f>
        <v>channel 1</v>
      </c>
    </row>
    <row r="86">
      <c r="A86" s="7"/>
      <c r="B86" s="28" t="s">
        <v>205</v>
      </c>
      <c r="C86" s="12" t="s">
        <v>188</v>
      </c>
      <c r="D86" s="28" t="s">
        <v>981</v>
      </c>
      <c r="E86" s="13" t="str">
        <f>HYPERLINK("https://youtu.be/7JJRtVSYjaQ?t=7440","channel 2")</f>
        <v>channel 2</v>
      </c>
    </row>
    <row r="87">
      <c r="A87" s="7"/>
      <c r="B87" s="28" t="s">
        <v>980</v>
      </c>
      <c r="C87" s="12" t="s">
        <v>47</v>
      </c>
      <c r="D87" s="28" t="s">
        <v>731</v>
      </c>
      <c r="E87" s="36" t="str">
        <f>HYPERLINK("https://youtu.be/UwoXowq4Wu4?t=8310","channel 1")</f>
        <v>channel 1</v>
      </c>
    </row>
    <row r="88">
      <c r="A88" s="25"/>
      <c r="B88" s="28" t="s">
        <v>979</v>
      </c>
      <c r="C88" s="12" t="s">
        <v>281</v>
      </c>
      <c r="D88" s="28" t="s">
        <v>981</v>
      </c>
      <c r="E88" s="13" t="str">
        <f>HYPERLINK("https://youtu.be/7JJRtVSYjaQ?t=8276","channel 2")</f>
        <v>channel 2</v>
      </c>
    </row>
    <row r="89">
      <c r="B89" s="2" t="s">
        <v>638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983</v>
      </c>
      <c r="C91" s="12" t="s">
        <v>145</v>
      </c>
      <c r="D91" s="28" t="s">
        <v>984</v>
      </c>
      <c r="E91" s="36" t="str">
        <f>HYPERLINK("https://youtu.be/G6FenFacVlc","channel 1")</f>
        <v>channel 1</v>
      </c>
    </row>
    <row r="92">
      <c r="B92" s="28" t="s">
        <v>987</v>
      </c>
      <c r="C92" s="12" t="s">
        <v>32</v>
      </c>
      <c r="D92" s="28" t="s">
        <v>253</v>
      </c>
      <c r="E92" s="13" t="str">
        <f>HYPERLINK("https://youtu.be/ZuZQh1wD7Zs","channel 2")</f>
        <v>channel 2</v>
      </c>
    </row>
    <row r="93">
      <c r="B93" s="28" t="s">
        <v>356</v>
      </c>
      <c r="C93" s="12" t="s">
        <v>108</v>
      </c>
      <c r="D93" s="28" t="s">
        <v>983</v>
      </c>
      <c r="E93" s="36" t="str">
        <f>HYPERLINK("https://youtu.be/G6FenFacVlc?t=931","channel 1")</f>
        <v>channel 1</v>
      </c>
    </row>
    <row r="94">
      <c r="B94" s="28" t="s">
        <v>987</v>
      </c>
      <c r="C94" s="12" t="s">
        <v>156</v>
      </c>
      <c r="D94" s="28" t="s">
        <v>984</v>
      </c>
      <c r="E94" s="13" t="str">
        <f>HYPERLINK("https://youtu.be/ZuZQh1wD7Zs?t=1007","channel 2")</f>
        <v>channel 2</v>
      </c>
    </row>
    <row r="95">
      <c r="B95" s="28" t="s">
        <v>356</v>
      </c>
      <c r="C95" s="12" t="s">
        <v>49</v>
      </c>
      <c r="D95" s="28" t="s">
        <v>253</v>
      </c>
      <c r="E95" s="36" t="str">
        <f>HYPERLINK("https://youtu.be/G6FenFacVlc?t=1873","channel 1")</f>
        <v>channel 1</v>
      </c>
    </row>
    <row r="96">
      <c r="B96" s="28" t="s">
        <v>987</v>
      </c>
      <c r="C96" s="12" t="s">
        <v>82</v>
      </c>
      <c r="D96" s="28" t="s">
        <v>983</v>
      </c>
      <c r="E96" s="13" t="str">
        <f>HYPERLINK("https://youtu.be/ZuZQh1wD7Zs?t=1890","channel 2")</f>
        <v>channel 2</v>
      </c>
    </row>
    <row r="97">
      <c r="B97" s="28" t="s">
        <v>356</v>
      </c>
      <c r="C97" s="12" t="s">
        <v>108</v>
      </c>
      <c r="D97" s="28" t="s">
        <v>984</v>
      </c>
      <c r="E97" s="36" t="str">
        <f>HYPERLINK("https://youtu.be/G6FenFacVlc?t=2707","channel 1")</f>
        <v>channel 1</v>
      </c>
    </row>
    <row r="98">
      <c r="B98" s="28" t="s">
        <v>253</v>
      </c>
      <c r="C98" s="12" t="s">
        <v>97</v>
      </c>
      <c r="D98" s="28" t="s">
        <v>983</v>
      </c>
      <c r="E98" s="13" t="str">
        <f>HYPERLINK("https://youtu.be/ZuZQh1wD7Zs?t=2814","channel 2")</f>
        <v>channel 2</v>
      </c>
    </row>
    <row r="99">
      <c r="B99" s="28" t="s">
        <v>356</v>
      </c>
      <c r="C99" s="12" t="s">
        <v>393</v>
      </c>
      <c r="D99" s="28" t="s">
        <v>987</v>
      </c>
      <c r="E99" s="36" t="str">
        <f>HYPERLINK("https://youtu.be/G6FenFacVlc?t=3610","channel 1")</f>
        <v>channel 1</v>
      </c>
    </row>
    <row r="100">
      <c r="B100" s="28" t="s">
        <v>253</v>
      </c>
      <c r="C100" s="12" t="s">
        <v>46</v>
      </c>
      <c r="D100" s="28" t="s">
        <v>984</v>
      </c>
      <c r="E100" s="13" t="str">
        <f>HYPERLINK("https://youtu.be/ZuZQh1wD7Zs?t=3693","channel 2")</f>
        <v>channel 2</v>
      </c>
    </row>
    <row r="101">
      <c r="B101" s="28" t="s">
        <v>984</v>
      </c>
      <c r="C101" s="12" t="s">
        <v>145</v>
      </c>
      <c r="D101" s="28" t="s">
        <v>983</v>
      </c>
      <c r="E101" s="36" t="str">
        <f>HYPERLINK("https://youtu.be/G6FenFacVlc?t=4537","channel 1")</f>
        <v>channel 1</v>
      </c>
    </row>
    <row r="102">
      <c r="B102" s="28" t="s">
        <v>253</v>
      </c>
      <c r="C102" s="12" t="s">
        <v>393</v>
      </c>
      <c r="D102" s="28" t="s">
        <v>987</v>
      </c>
      <c r="E102" s="13" t="str">
        <f>HYPERLINK("https://youtu.be/ZuZQh1wD7Zs?t=4593","channel 2")</f>
        <v>channel 2</v>
      </c>
    </row>
    <row r="103">
      <c r="B103" s="28" t="s">
        <v>983</v>
      </c>
      <c r="C103" s="12" t="s">
        <v>887</v>
      </c>
      <c r="D103" s="28" t="s">
        <v>356</v>
      </c>
      <c r="E103" s="36" t="str">
        <f>HYPERLINK("https://youtu.be/G6FenFacVlc?t=5412","channel 1")</f>
        <v>channel 1</v>
      </c>
    </row>
    <row r="104">
      <c r="B104" s="28" t="s">
        <v>984</v>
      </c>
      <c r="C104" s="12" t="s">
        <v>55</v>
      </c>
      <c r="D104" s="28" t="s">
        <v>987</v>
      </c>
      <c r="E104" s="13" t="str">
        <f>HYPERLINK("https://youtu.be/ZuZQh1wD7Zs?t=5513","channel 2")</f>
        <v>channel 2</v>
      </c>
    </row>
    <row r="105">
      <c r="B105" s="28" t="s">
        <v>253</v>
      </c>
      <c r="C105" s="12" t="s">
        <v>141</v>
      </c>
      <c r="D105" s="28" t="s">
        <v>356</v>
      </c>
      <c r="E105" s="36" t="str">
        <f>HYPERLINK("https://youtu.be/G6FenFacVlc?t=6414","channel 1")</f>
        <v>channel 1</v>
      </c>
    </row>
    <row r="106">
      <c r="B106" s="28" t="s">
        <v>983</v>
      </c>
      <c r="C106" s="12" t="s">
        <v>82</v>
      </c>
      <c r="D106" s="28" t="s">
        <v>987</v>
      </c>
      <c r="E106" s="13" t="str">
        <f>HYPERLINK("https://youtu.be/ZuZQh1wD7Zs?t=6433","channel 2")</f>
        <v>channel 2</v>
      </c>
    </row>
    <row r="107">
      <c r="B107" s="28" t="s">
        <v>984</v>
      </c>
      <c r="C107" s="12" t="s">
        <v>84</v>
      </c>
      <c r="D107" s="28" t="s">
        <v>356</v>
      </c>
      <c r="E107" s="36" t="str">
        <f>HYPERLINK("https://youtu.be/G6FenFacVlc?t=7318","channel 1")</f>
        <v>channel 1</v>
      </c>
    </row>
    <row r="108">
      <c r="B108" s="28" t="s">
        <v>983</v>
      </c>
      <c r="C108" s="12" t="s">
        <v>32</v>
      </c>
      <c r="D108" s="28" t="s">
        <v>253</v>
      </c>
      <c r="E108" s="13" t="str">
        <f>HYPERLINK("https://youtu.be/ZuZQh1wD7Zs?t=7332","channel 2")</f>
        <v>channel 2</v>
      </c>
    </row>
    <row r="109">
      <c r="B109" s="28" t="s">
        <v>987</v>
      </c>
      <c r="C109" s="12" t="s">
        <v>84</v>
      </c>
      <c r="D109" s="28" t="s">
        <v>356</v>
      </c>
      <c r="E109" s="36" t="str">
        <f>HYPERLINK("https://youtu.be/G6FenFacVlc?t=8222","channel 1")</f>
        <v>channel 1</v>
      </c>
    </row>
    <row r="110">
      <c r="B110" s="28" t="s">
        <v>984</v>
      </c>
      <c r="C110" s="12" t="s">
        <v>347</v>
      </c>
      <c r="D110" s="28" t="s">
        <v>253</v>
      </c>
      <c r="E110" s="13" t="str">
        <f>HYPERLINK("https://youtu.be/ZuZQh1wD7Zs?t=8236","channel 2")</f>
        <v>channel 2</v>
      </c>
    </row>
    <row r="111">
      <c r="B111" s="2" t="s">
        <v>341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784</v>
      </c>
      <c r="C113" s="12" t="s">
        <v>10</v>
      </c>
      <c r="D113" s="28" t="s">
        <v>783</v>
      </c>
      <c r="E113" s="36" t="str">
        <f>HYPERLINK("https://youtu.be/S4ap6mO18s8","channel 1")</f>
        <v>channel 1</v>
      </c>
    </row>
    <row r="114">
      <c r="B114" s="28" t="s">
        <v>994</v>
      </c>
      <c r="C114" s="12" t="s">
        <v>74</v>
      </c>
      <c r="D114" s="28" t="s">
        <v>995</v>
      </c>
      <c r="E114" s="13" t="str">
        <f>HYPERLINK("https://youtu.be/1-DXwMHXDiY","channel 2")</f>
        <v>channel 2</v>
      </c>
    </row>
    <row r="115">
      <c r="B115" s="28" t="s">
        <v>747</v>
      </c>
      <c r="C115" s="12" t="s">
        <v>307</v>
      </c>
      <c r="D115" s="28" t="s">
        <v>784</v>
      </c>
      <c r="E115" s="36" t="str">
        <f>HYPERLINK("https://youtu.be/S4ap6mO18s8?t=912","channel 1")</f>
        <v>channel 1</v>
      </c>
    </row>
    <row r="116">
      <c r="B116" s="28" t="s">
        <v>994</v>
      </c>
      <c r="C116" s="12" t="s">
        <v>32</v>
      </c>
      <c r="D116" s="28" t="s">
        <v>783</v>
      </c>
      <c r="E116" s="13" t="str">
        <f>HYPERLINK("https://youtu.be/1-DXwMHXDiY?t=970","channel 2")</f>
        <v>channel 2</v>
      </c>
    </row>
    <row r="117">
      <c r="B117" s="28" t="s">
        <v>747</v>
      </c>
      <c r="C117" s="12" t="s">
        <v>57</v>
      </c>
      <c r="D117" s="28" t="s">
        <v>995</v>
      </c>
      <c r="E117" s="36" t="str">
        <f>HYPERLINK("https://youtu.be/S4ap6mO18s8?t=1812","channel 1")</f>
        <v>channel 1</v>
      </c>
    </row>
    <row r="118">
      <c r="B118" s="28" t="s">
        <v>994</v>
      </c>
      <c r="C118" s="12" t="s">
        <v>104</v>
      </c>
      <c r="D118" s="28" t="s">
        <v>784</v>
      </c>
      <c r="E118" s="13" t="str">
        <f>HYPERLINK("https://youtu.be/1-DXwMHXDiY?t=1853","channel 2")</f>
        <v>channel 2</v>
      </c>
    </row>
    <row r="119">
      <c r="B119" s="28" t="s">
        <v>747</v>
      </c>
      <c r="C119" s="12" t="s">
        <v>47</v>
      </c>
      <c r="D119" s="28" t="s">
        <v>783</v>
      </c>
      <c r="E119" s="36" t="str">
        <f>HYPERLINK("https://youtu.be/S4ap6mO18s8?t=2818","channel 1")</f>
        <v>channel 1</v>
      </c>
    </row>
    <row r="120">
      <c r="B120" s="28" t="s">
        <v>995</v>
      </c>
      <c r="C120" s="12" t="s">
        <v>108</v>
      </c>
      <c r="D120" s="28" t="s">
        <v>784</v>
      </c>
      <c r="E120" s="13" t="str">
        <f>HYPERLINK("https://youtu.be/1-DXwMHXDiY?t=2868","channel 2")</f>
        <v>channel 2</v>
      </c>
    </row>
    <row r="121">
      <c r="B121" s="28" t="s">
        <v>747</v>
      </c>
      <c r="C121" s="12" t="s">
        <v>55</v>
      </c>
      <c r="D121" s="28" t="s">
        <v>994</v>
      </c>
      <c r="E121" s="36" t="str">
        <f>HYPERLINK("https://youtu.be/S4ap6mO18s8?t=3649","channel 1")</f>
        <v>channel 1</v>
      </c>
    </row>
    <row r="122">
      <c r="B122" s="28" t="s">
        <v>995</v>
      </c>
      <c r="C122" s="12" t="s">
        <v>97</v>
      </c>
      <c r="D122" s="28" t="s">
        <v>783</v>
      </c>
      <c r="E122" s="13" t="str">
        <f>HYPERLINK("https://youtu.be/1-DXwMHXDiY?t=3753","channel 2")</f>
        <v>channel 2</v>
      </c>
    </row>
    <row r="123">
      <c r="B123" s="28" t="s">
        <v>783</v>
      </c>
      <c r="C123" s="12" t="s">
        <v>337</v>
      </c>
      <c r="D123" s="28" t="s">
        <v>784</v>
      </c>
      <c r="E123" s="36" t="str">
        <f>HYPERLINK("https://youtu.be/S4ap6mO18s8?t=4613","channel 1")</f>
        <v>channel 1</v>
      </c>
    </row>
    <row r="124">
      <c r="B124" s="28" t="s">
        <v>995</v>
      </c>
      <c r="C124" s="12" t="s">
        <v>97</v>
      </c>
      <c r="D124" s="28" t="s">
        <v>994</v>
      </c>
      <c r="E124" s="13" t="str">
        <f>HYPERLINK("https://youtu.be/1-DXwMHXDiY?t=4659","channel 2")</f>
        <v>channel 2</v>
      </c>
    </row>
    <row r="125">
      <c r="B125" s="28" t="s">
        <v>784</v>
      </c>
      <c r="C125" s="12" t="s">
        <v>124</v>
      </c>
      <c r="D125" s="28" t="s">
        <v>747</v>
      </c>
      <c r="E125" s="36" t="str">
        <f>HYPERLINK("https://youtu.be/S4ap6mO18s8?t=5487","channel 1")</f>
        <v>channel 1</v>
      </c>
    </row>
    <row r="126">
      <c r="B126" s="28" t="s">
        <v>783</v>
      </c>
      <c r="C126" s="12" t="s">
        <v>132</v>
      </c>
      <c r="D126" s="28" t="s">
        <v>994</v>
      </c>
      <c r="E126" s="13" t="str">
        <f>HYPERLINK("https://youtu.be/1-DXwMHXDiY?t=5543","channel 2")</f>
        <v>channel 2</v>
      </c>
    </row>
    <row r="127">
      <c r="B127" s="28" t="s">
        <v>995</v>
      </c>
      <c r="C127" s="12" t="s">
        <v>285</v>
      </c>
      <c r="D127" s="28" t="s">
        <v>747</v>
      </c>
      <c r="E127" s="36" t="str">
        <f>HYPERLINK("https://youtu.be/S4ap6mO18s8?t=6365","channel 1")</f>
        <v>channel 1</v>
      </c>
    </row>
    <row r="128">
      <c r="B128" s="28" t="s">
        <v>784</v>
      </c>
      <c r="C128" s="12" t="s">
        <v>216</v>
      </c>
      <c r="D128" s="28" t="s">
        <v>994</v>
      </c>
      <c r="E128" s="13" t="str">
        <f>HYPERLINK("https://youtu.be/1-DXwMHXDiY?t=6453","channel 2")</f>
        <v>channel 2</v>
      </c>
    </row>
    <row r="129">
      <c r="B129" s="28" t="s">
        <v>783</v>
      </c>
      <c r="C129" s="12" t="s">
        <v>74</v>
      </c>
      <c r="D129" s="28" t="s">
        <v>747</v>
      </c>
      <c r="E129" s="36" t="str">
        <f>HYPERLINK("https://youtu.be/S4ap6mO18s8?t=7234","channel 1")</f>
        <v>channel 1</v>
      </c>
    </row>
    <row r="130">
      <c r="B130" s="28" t="s">
        <v>784</v>
      </c>
      <c r="C130" s="12" t="s">
        <v>32</v>
      </c>
      <c r="D130" s="28" t="s">
        <v>995</v>
      </c>
      <c r="E130" s="13" t="str">
        <f>HYPERLINK("https://youtu.be/1-DXwMHXDiY?t=7415","channel 2")</f>
        <v>channel 2</v>
      </c>
    </row>
    <row r="131">
      <c r="B131" s="28" t="s">
        <v>994</v>
      </c>
      <c r="C131" s="12" t="s">
        <v>44</v>
      </c>
      <c r="D131" s="28" t="s">
        <v>747</v>
      </c>
      <c r="E131" s="36" t="str">
        <f>HYPERLINK("https://youtu.be/S4ap6mO18s8?t=7987","channel 1")</f>
        <v>channel 1</v>
      </c>
    </row>
    <row r="132">
      <c r="B132" s="28" t="s">
        <v>783</v>
      </c>
      <c r="C132" s="12" t="s">
        <v>350</v>
      </c>
      <c r="D132" s="28" t="s">
        <v>995</v>
      </c>
      <c r="E132" s="13" t="str">
        <f>HYPERLINK("https://youtu.be/1-DXwMHXDiY?t=8424","channel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299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220</v>
      </c>
      <c r="C3" s="12" t="s">
        <v>529</v>
      </c>
      <c r="D3" s="28" t="s">
        <v>967</v>
      </c>
      <c r="E3" s="36" t="str">
        <f>HYPERLINK("https://youtu.be/gG1lVt5izms","channel 1")</f>
        <v>channel 1</v>
      </c>
    </row>
    <row r="4">
      <c r="A4" s="7"/>
      <c r="B4" s="28" t="s">
        <v>968</v>
      </c>
      <c r="C4" s="37" t="s">
        <v>97</v>
      </c>
      <c r="D4" s="28" t="s">
        <v>969</v>
      </c>
      <c r="E4" s="13" t="str">
        <f>HYPERLINK("https://youtu.be/cWcfvPl5HoA","channel 2")</f>
        <v>channel 2</v>
      </c>
    </row>
    <row r="5">
      <c r="A5" s="7"/>
      <c r="B5" s="28" t="s">
        <v>970</v>
      </c>
      <c r="C5" s="12" t="s">
        <v>184</v>
      </c>
      <c r="D5" s="28" t="s">
        <v>220</v>
      </c>
      <c r="E5" s="36" t="str">
        <f>HYPERLINK("https://youtu.be/gG1lVt5izms?t=250","channel 1")</f>
        <v>channel 1</v>
      </c>
    </row>
    <row r="6">
      <c r="A6" s="7"/>
      <c r="B6" s="28" t="s">
        <v>968</v>
      </c>
      <c r="C6" s="12" t="s">
        <v>365</v>
      </c>
      <c r="D6" s="28" t="s">
        <v>967</v>
      </c>
      <c r="E6" s="13" t="str">
        <f>HYPERLINK("https://youtu.be/cWcfvPl5HoA?t=917","channel 2")</f>
        <v>channel 2</v>
      </c>
    </row>
    <row r="7">
      <c r="A7" s="7"/>
      <c r="B7" s="28" t="s">
        <v>970</v>
      </c>
      <c r="C7" s="12" t="s">
        <v>138</v>
      </c>
      <c r="D7" s="28" t="s">
        <v>969</v>
      </c>
      <c r="E7" s="36" t="str">
        <f>HYPERLINK("https://youtu.be/gG1lVt5izms?t=1284","channel 1")</f>
        <v>channel 1</v>
      </c>
    </row>
    <row r="8">
      <c r="A8" s="7"/>
      <c r="B8" s="28" t="s">
        <v>968</v>
      </c>
      <c r="C8" s="12" t="s">
        <v>223</v>
      </c>
      <c r="D8" s="28" t="s">
        <v>220</v>
      </c>
      <c r="E8" s="13" t="str">
        <f>HYPERLINK("https://youtu.be/cWcfvPl5HoA?t=1892","channel 2")</f>
        <v>channel 2</v>
      </c>
    </row>
    <row r="9">
      <c r="A9" s="7"/>
      <c r="B9" s="28" t="s">
        <v>970</v>
      </c>
      <c r="C9" s="12" t="s">
        <v>24</v>
      </c>
      <c r="D9" s="28" t="s">
        <v>967</v>
      </c>
      <c r="E9" s="36" t="str">
        <f>HYPERLINK("https://youtu.be/gG1lVt5izms?t=2189","channel 1")</f>
        <v>channel 1</v>
      </c>
    </row>
    <row r="10">
      <c r="A10" s="7"/>
      <c r="B10" s="28" t="s">
        <v>969</v>
      </c>
      <c r="C10" s="12" t="s">
        <v>974</v>
      </c>
      <c r="D10" s="28" t="s">
        <v>220</v>
      </c>
      <c r="E10" s="13" t="str">
        <f>HYPERLINK("https://youtu.be/cWcfvPl5HoA?t=2891","channel 2")</f>
        <v>channel 2</v>
      </c>
    </row>
    <row r="11">
      <c r="A11" s="7"/>
      <c r="B11" s="28" t="s">
        <v>970</v>
      </c>
      <c r="C11" s="12" t="s">
        <v>57</v>
      </c>
      <c r="D11" s="28" t="s">
        <v>968</v>
      </c>
      <c r="E11" s="36" t="str">
        <f>HYPERLINK("https://youtu.be/gG1lVt5izms?t=3232","channel 1")</f>
        <v>channel 1</v>
      </c>
    </row>
    <row r="12">
      <c r="A12" s="7"/>
      <c r="B12" s="28" t="s">
        <v>969</v>
      </c>
      <c r="C12" s="12" t="s">
        <v>24</v>
      </c>
      <c r="D12" s="28" t="s">
        <v>967</v>
      </c>
      <c r="E12" s="13" t="str">
        <f>HYPERLINK("https://youtu.be/cWcfvPl5HoA?t=3836","channel 2")</f>
        <v>channel 2</v>
      </c>
    </row>
    <row r="13">
      <c r="A13" s="7"/>
      <c r="B13" s="28" t="s">
        <v>967</v>
      </c>
      <c r="C13" s="12" t="s">
        <v>272</v>
      </c>
      <c r="D13" s="28" t="s">
        <v>220</v>
      </c>
      <c r="E13" s="36" t="str">
        <f>HYPERLINK("https://youtu.be/gG1lVt5izms?t=4192","channel 1")</f>
        <v>channel 1</v>
      </c>
    </row>
    <row r="14">
      <c r="A14" s="7"/>
      <c r="B14" s="28" t="s">
        <v>969</v>
      </c>
      <c r="C14" s="12" t="s">
        <v>190</v>
      </c>
      <c r="D14" s="28" t="s">
        <v>968</v>
      </c>
      <c r="E14" s="13" t="str">
        <f>HYPERLINK("https://youtu.be/cWcfvPl5HoA?t=4755","channel 2")</f>
        <v>channel 2</v>
      </c>
    </row>
    <row r="15">
      <c r="A15" s="7"/>
      <c r="B15" s="28" t="s">
        <v>220</v>
      </c>
      <c r="C15" s="12" t="s">
        <v>59</v>
      </c>
      <c r="D15" s="28" t="s">
        <v>970</v>
      </c>
      <c r="E15" s="36" t="str">
        <f>HYPERLINK("https://youtu.be/gG1lVt5izms?t=5194","channel 1")</f>
        <v>channel 1</v>
      </c>
    </row>
    <row r="16">
      <c r="A16" s="7"/>
      <c r="B16" s="28" t="s">
        <v>967</v>
      </c>
      <c r="C16" s="12" t="s">
        <v>93</v>
      </c>
      <c r="D16" s="28" t="s">
        <v>968</v>
      </c>
      <c r="E16" s="13" t="str">
        <f>HYPERLINK("https://youtu.be/cWcfvPl5HoA?t=5861","channel 2")</f>
        <v>channel 2</v>
      </c>
    </row>
    <row r="17">
      <c r="A17" s="7"/>
      <c r="B17" s="28" t="s">
        <v>969</v>
      </c>
      <c r="C17" s="12" t="s">
        <v>87</v>
      </c>
      <c r="D17" s="28" t="s">
        <v>970</v>
      </c>
      <c r="E17" s="36" t="str">
        <f>HYPERLINK("https://youtu.be/gG1lVt5izms?t=6131","channel 1")</f>
        <v>channel 1</v>
      </c>
    </row>
    <row r="18">
      <c r="A18" s="7"/>
      <c r="B18" s="28" t="s">
        <v>220</v>
      </c>
      <c r="C18" s="12" t="s">
        <v>108</v>
      </c>
      <c r="D18" s="28" t="s">
        <v>968</v>
      </c>
      <c r="E18" s="13" t="str">
        <f>HYPERLINK("https://youtu.be/cWcfvPl5HoA?t=6764","channel 2")</f>
        <v>channel 2</v>
      </c>
    </row>
    <row r="19">
      <c r="A19" s="7"/>
      <c r="B19" s="28" t="s">
        <v>967</v>
      </c>
      <c r="C19" s="12" t="s">
        <v>30</v>
      </c>
      <c r="D19" s="28" t="s">
        <v>970</v>
      </c>
      <c r="E19" s="36" t="str">
        <f>HYPERLINK("https://youtu.be/gG1lVt5izms?t=7072","channel 1")</f>
        <v>channel 1</v>
      </c>
    </row>
    <row r="20">
      <c r="A20" s="7"/>
      <c r="B20" s="28" t="s">
        <v>220</v>
      </c>
      <c r="C20" s="12" t="s">
        <v>237</v>
      </c>
      <c r="D20" s="28" t="s">
        <v>969</v>
      </c>
      <c r="E20" s="13" t="str">
        <f>HYPERLINK("https://youtu.be/cWcfvPl5HoA?t=7672","channel 2")</f>
        <v>channel 2</v>
      </c>
    </row>
    <row r="21">
      <c r="A21" s="7"/>
      <c r="B21" s="28" t="s">
        <v>968</v>
      </c>
      <c r="C21" s="12" t="s">
        <v>46</v>
      </c>
      <c r="D21" s="28" t="s">
        <v>970</v>
      </c>
      <c r="E21" s="36" t="str">
        <f>HYPERLINK("https://youtu.be/gG1lVt5izms?t=7989","channel 1")</f>
        <v>channel 1</v>
      </c>
    </row>
    <row r="22">
      <c r="A22" s="7"/>
      <c r="B22" s="28" t="s">
        <v>967</v>
      </c>
      <c r="C22" s="12" t="s">
        <v>353</v>
      </c>
      <c r="D22" s="28" t="s">
        <v>969</v>
      </c>
      <c r="E22" s="13" t="str">
        <f>HYPERLINK("https://youtu.be/cWcfvPl5HoA?t=8597","channel 2")</f>
        <v>channel 2</v>
      </c>
    </row>
    <row r="23">
      <c r="A23" s="7"/>
      <c r="B23" s="2" t="s">
        <v>773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790</v>
      </c>
      <c r="C25" s="12" t="s">
        <v>571</v>
      </c>
      <c r="D25" s="28" t="s">
        <v>975</v>
      </c>
      <c r="E25" s="36" t="str">
        <f>HYPERLINK("https://youtu.be/xnoUBF8SSA8","channel 1")</f>
        <v>channel 1</v>
      </c>
    </row>
    <row r="26">
      <c r="A26" s="7"/>
      <c r="B26" s="28" t="s">
        <v>976</v>
      </c>
      <c r="C26" s="12" t="s">
        <v>237</v>
      </c>
      <c r="D26" s="28" t="s">
        <v>977</v>
      </c>
      <c r="E26" s="13" t="str">
        <f>HYPERLINK("https://youtu.be/R4BIoa8qnqk","channel 2")</f>
        <v>channel 2</v>
      </c>
    </row>
    <row r="27">
      <c r="A27" s="7"/>
      <c r="B27" s="28" t="s">
        <v>978</v>
      </c>
      <c r="C27" s="12" t="s">
        <v>277</v>
      </c>
      <c r="D27" s="28" t="s">
        <v>790</v>
      </c>
      <c r="E27" s="36" t="str">
        <f>HYPERLINK("https://youtu.be/xnoUBF8SSA8?t=933","channel 1")</f>
        <v>channel 1</v>
      </c>
    </row>
    <row r="28">
      <c r="A28" s="7"/>
      <c r="B28" s="28" t="s">
        <v>976</v>
      </c>
      <c r="C28" s="12" t="s">
        <v>24</v>
      </c>
      <c r="D28" s="28" t="s">
        <v>975</v>
      </c>
      <c r="E28" s="13" t="str">
        <f>HYPERLINK("https://youtu.be/R4BIoa8qnqk?t=922","channel 2")</f>
        <v>channel 2</v>
      </c>
    </row>
    <row r="29">
      <c r="A29" s="7"/>
      <c r="B29" s="28" t="s">
        <v>978</v>
      </c>
      <c r="C29" s="12" t="s">
        <v>304</v>
      </c>
      <c r="D29" s="28" t="s">
        <v>977</v>
      </c>
      <c r="E29" s="36" t="str">
        <f>HYPERLINK("https://youtu.be/xnoUBF8SSA8?t=1853","channel 1")</f>
        <v>channel 1</v>
      </c>
    </row>
    <row r="30">
      <c r="A30" s="7"/>
      <c r="B30" s="28" t="s">
        <v>976</v>
      </c>
      <c r="C30" s="12" t="s">
        <v>34</v>
      </c>
      <c r="D30" s="28" t="s">
        <v>790</v>
      </c>
      <c r="E30" s="13" t="str">
        <f>HYPERLINK("https://youtu.be/R4BIoa8qnqk?t=1822","channel 2")</f>
        <v>channel 2</v>
      </c>
    </row>
    <row r="31">
      <c r="A31" s="7"/>
      <c r="B31" s="28" t="s">
        <v>978</v>
      </c>
      <c r="C31" s="12" t="s">
        <v>32</v>
      </c>
      <c r="D31" s="28" t="s">
        <v>975</v>
      </c>
      <c r="E31" s="36" t="str">
        <f>HYPERLINK("https://youtu.be/xnoUBF8SSA8?t=2772","channel 1")</f>
        <v>channel 1</v>
      </c>
    </row>
    <row r="32">
      <c r="A32" s="7"/>
      <c r="B32" s="28" t="s">
        <v>977</v>
      </c>
      <c r="C32" s="12" t="s">
        <v>322</v>
      </c>
      <c r="D32" s="28" t="s">
        <v>790</v>
      </c>
      <c r="E32" s="13" t="str">
        <f>HYPERLINK("https://youtu.be/R4BIoa8qnqk?t=2790","channel 2")</f>
        <v>channel 2</v>
      </c>
    </row>
    <row r="33">
      <c r="A33" s="7"/>
      <c r="B33" s="28" t="s">
        <v>978</v>
      </c>
      <c r="C33" s="12" t="s">
        <v>322</v>
      </c>
      <c r="D33" s="28" t="s">
        <v>976</v>
      </c>
      <c r="E33" s="36" t="str">
        <f>HYPERLINK("https://youtu.be/xnoUBF8SSA8?t=3677","channel 1")</f>
        <v>channel 1</v>
      </c>
    </row>
    <row r="34">
      <c r="A34" s="7"/>
      <c r="B34" s="28" t="s">
        <v>977</v>
      </c>
      <c r="C34" s="12" t="s">
        <v>74</v>
      </c>
      <c r="D34" s="28" t="s">
        <v>975</v>
      </c>
      <c r="E34" s="13" t="str">
        <f>HYPERLINK("https://youtu.be/R4BIoa8qnqk?t=3779","channel 2")</f>
        <v>channel 2</v>
      </c>
    </row>
    <row r="35">
      <c r="A35" s="7"/>
      <c r="B35" s="28" t="s">
        <v>975</v>
      </c>
      <c r="C35" s="12" t="s">
        <v>337</v>
      </c>
      <c r="D35" s="28" t="s">
        <v>790</v>
      </c>
      <c r="E35" s="36" t="str">
        <f>HYPERLINK("https://youtu.be/xnoUBF8SSA8?t=4682","channel 1")</f>
        <v>channel 1</v>
      </c>
    </row>
    <row r="36">
      <c r="A36" s="7"/>
      <c r="B36" s="28" t="s">
        <v>977</v>
      </c>
      <c r="C36" s="12" t="s">
        <v>905</v>
      </c>
      <c r="D36" s="28" t="s">
        <v>976</v>
      </c>
      <c r="E36" s="13" t="str">
        <f>HYPERLINK("https://youtu.be/R4BIoa8qnqk?t=4682","channel 2")</f>
        <v>channel 2</v>
      </c>
    </row>
    <row r="37">
      <c r="A37" s="7"/>
      <c r="B37" s="28" t="s">
        <v>790</v>
      </c>
      <c r="C37" s="12" t="s">
        <v>375</v>
      </c>
      <c r="D37" s="28" t="s">
        <v>978</v>
      </c>
      <c r="E37" s="36" t="str">
        <f>HYPERLINK("https://youtu.be/xnoUBF8SSA8?t=5605","channel 1")</f>
        <v>channel 1</v>
      </c>
    </row>
    <row r="38">
      <c r="A38" s="7"/>
      <c r="B38" s="28" t="s">
        <v>975</v>
      </c>
      <c r="C38" s="12" t="s">
        <v>57</v>
      </c>
      <c r="D38" s="28" t="s">
        <v>976</v>
      </c>
      <c r="E38" s="13" t="str">
        <f>HYPERLINK("https://youtu.be/R4BIoa8qnqk?t=5578","channel 2")</f>
        <v>channel 2</v>
      </c>
    </row>
    <row r="39">
      <c r="A39" s="7"/>
      <c r="B39" s="28" t="s">
        <v>977</v>
      </c>
      <c r="C39" s="18" t="s">
        <v>104</v>
      </c>
      <c r="D39" s="28" t="s">
        <v>978</v>
      </c>
      <c r="E39" s="36" t="str">
        <f>HYPERLINK("https://youtu.be/xnoUBF8SSA8?t=6534","channel 1")</f>
        <v>channel 1</v>
      </c>
    </row>
    <row r="40">
      <c r="A40" s="7"/>
      <c r="B40" s="28" t="s">
        <v>790</v>
      </c>
      <c r="C40" s="12" t="s">
        <v>108</v>
      </c>
      <c r="D40" s="28" t="s">
        <v>976</v>
      </c>
      <c r="E40" s="13" t="str">
        <f>HYPERLINK("https://youtu.be/R4BIoa8qnqk?t=6483","channel 2")</f>
        <v>channel 2</v>
      </c>
    </row>
    <row r="41">
      <c r="A41" s="7"/>
      <c r="B41" s="28" t="s">
        <v>975</v>
      </c>
      <c r="C41" s="12" t="s">
        <v>337</v>
      </c>
      <c r="D41" s="28" t="s">
        <v>978</v>
      </c>
      <c r="E41" s="36" t="str">
        <f>HYPERLINK("https://youtu.be/xnoUBF8SSA8?t=7434","channel 1")</f>
        <v>channel 1</v>
      </c>
    </row>
    <row r="42">
      <c r="A42" s="7"/>
      <c r="B42" s="28" t="s">
        <v>790</v>
      </c>
      <c r="C42" s="12" t="s">
        <v>854</v>
      </c>
      <c r="D42" s="28" t="s">
        <v>977</v>
      </c>
      <c r="E42" s="13" t="str">
        <f>HYPERLINK("https://youtu.be/R4BIoa8qnqk?t=7465","channel 2")</f>
        <v>channel 2</v>
      </c>
    </row>
    <row r="43">
      <c r="A43" s="7"/>
      <c r="B43" s="28" t="s">
        <v>976</v>
      </c>
      <c r="C43" s="12" t="s">
        <v>858</v>
      </c>
      <c r="D43" s="28" t="s">
        <v>978</v>
      </c>
      <c r="E43" s="36" t="str">
        <f>HYPERLINK("https://youtu.be/xnoUBF8SSA8?t=8344","channel 1")</f>
        <v>channel 1</v>
      </c>
    </row>
    <row r="44">
      <c r="A44" s="7"/>
      <c r="B44" s="28" t="s">
        <v>975</v>
      </c>
      <c r="C44" s="12" t="s">
        <v>102</v>
      </c>
      <c r="D44" s="28" t="s">
        <v>977</v>
      </c>
      <c r="E44" s="13" t="str">
        <f>HYPERLINK("https://youtu.be/R4BIoa8qnqk?t=8396","channel 2")</f>
        <v>channel 2</v>
      </c>
    </row>
    <row r="45">
      <c r="A45" s="7"/>
      <c r="B45" s="2" t="s">
        <v>377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985</v>
      </c>
      <c r="C47" s="12" t="s">
        <v>104</v>
      </c>
      <c r="D47" s="28" t="s">
        <v>986</v>
      </c>
      <c r="E47" s="36" t="str">
        <f>HYPERLINK("https://youtu.be/jHoCnJhfqWo","channel 1")</f>
        <v>channel 1</v>
      </c>
    </row>
    <row r="48">
      <c r="A48" s="7"/>
      <c r="B48" s="28" t="s">
        <v>81</v>
      </c>
      <c r="C48" s="12" t="s">
        <v>296</v>
      </c>
      <c r="D48" s="28" t="s">
        <v>716</v>
      </c>
      <c r="E48" s="13" t="str">
        <f>HYPERLINK("https://youtu.be/6DnptHJ-rQE","channel 2")</f>
        <v>channel 2</v>
      </c>
    </row>
    <row r="49">
      <c r="A49" s="7"/>
      <c r="B49" s="28" t="s">
        <v>988</v>
      </c>
      <c r="C49" s="12" t="s">
        <v>20</v>
      </c>
      <c r="D49" s="28" t="s">
        <v>985</v>
      </c>
      <c r="E49" s="36" t="str">
        <f>HYPERLINK("https://youtu.be/jHoCnJhfqWo?t=1006","channel 1")</f>
        <v>channel 1</v>
      </c>
    </row>
    <row r="50">
      <c r="A50" s="7"/>
      <c r="B50" s="28" t="s">
        <v>81</v>
      </c>
      <c r="C50" s="12" t="s">
        <v>10</v>
      </c>
      <c r="D50" s="28" t="s">
        <v>986</v>
      </c>
      <c r="E50" s="13" t="str">
        <f>HYPERLINK("https://youtu.be/6DnptHJ-rQE?t=986","channel 2")</f>
        <v>channel 2</v>
      </c>
    </row>
    <row r="51">
      <c r="A51" s="7"/>
      <c r="B51" s="28" t="s">
        <v>988</v>
      </c>
      <c r="C51" s="12" t="s">
        <v>759</v>
      </c>
      <c r="D51" s="28" t="s">
        <v>716</v>
      </c>
      <c r="E51" s="36" t="str">
        <f>HYPERLINK("https://youtu.be/jHoCnJhfqWo?t=1940","channel 1")</f>
        <v>channel 1</v>
      </c>
    </row>
    <row r="52">
      <c r="A52" s="7"/>
      <c r="B52" s="28" t="s">
        <v>81</v>
      </c>
      <c r="C52" s="12" t="s">
        <v>77</v>
      </c>
      <c r="D52" s="28" t="s">
        <v>985</v>
      </c>
      <c r="E52" s="13" t="str">
        <f>HYPERLINK("https://youtu.be/6DnptHJ-rQE?t=1852","channel 2")</f>
        <v>channel 2</v>
      </c>
    </row>
    <row r="53">
      <c r="A53" s="7"/>
      <c r="B53" s="28" t="s">
        <v>988</v>
      </c>
      <c r="C53" s="12" t="s">
        <v>84</v>
      </c>
      <c r="D53" s="28" t="s">
        <v>986</v>
      </c>
      <c r="E53" s="36" t="str">
        <f>HYPERLINK("https://youtu.be/jHoCnJhfqWo?t=2905","channel 1")</f>
        <v>channel 1</v>
      </c>
    </row>
    <row r="54">
      <c r="A54" s="7"/>
      <c r="B54" s="28" t="s">
        <v>716</v>
      </c>
      <c r="C54" s="12" t="s">
        <v>20</v>
      </c>
      <c r="D54" s="28" t="s">
        <v>985</v>
      </c>
      <c r="E54" s="13" t="str">
        <f>HYPERLINK("https://youtu.be/6DnptHJ-rQE?t=2972","channel 2")</f>
        <v>channel 2</v>
      </c>
    </row>
    <row r="55">
      <c r="A55" s="7"/>
      <c r="B55" s="28" t="s">
        <v>988</v>
      </c>
      <c r="C55" s="12" t="s">
        <v>145</v>
      </c>
      <c r="D55" s="28" t="s">
        <v>81</v>
      </c>
      <c r="E55" s="36" t="str">
        <f>HYPERLINK("https://youtu.be/jHoCnJhfqWo?t=3851","channel 1")</f>
        <v>channel 1</v>
      </c>
    </row>
    <row r="56">
      <c r="A56" s="7"/>
      <c r="B56" s="28" t="s">
        <v>716</v>
      </c>
      <c r="C56" s="12" t="s">
        <v>38</v>
      </c>
      <c r="D56" s="28" t="s">
        <v>986</v>
      </c>
      <c r="E56" s="13" t="str">
        <f>HYPERLINK("https://youtu.be/6DnptHJ-rQE?t=3972","channel 2")</f>
        <v>channel 2</v>
      </c>
    </row>
    <row r="57">
      <c r="A57" s="7"/>
      <c r="B57" s="28" t="s">
        <v>986</v>
      </c>
      <c r="C57" s="12" t="s">
        <v>750</v>
      </c>
      <c r="D57" s="28" t="s">
        <v>985</v>
      </c>
      <c r="E57" s="36" t="str">
        <f>HYPERLINK("https://youtu.be/jHoCnJhfqWo?t=4831","channel 1")</f>
        <v>channel 1</v>
      </c>
    </row>
    <row r="58">
      <c r="A58" s="7"/>
      <c r="B58" s="28" t="s">
        <v>716</v>
      </c>
      <c r="C58" s="12" t="s">
        <v>142</v>
      </c>
      <c r="D58" s="28" t="s">
        <v>81</v>
      </c>
      <c r="E58" s="13" t="str">
        <f>HYPERLINK("https://youtu.be/6DnptHJ-rQE?t=4798","channel 2")</f>
        <v>channel 2</v>
      </c>
    </row>
    <row r="59">
      <c r="A59" s="7"/>
      <c r="B59" s="28" t="s">
        <v>985</v>
      </c>
      <c r="C59" s="12" t="s">
        <v>143</v>
      </c>
      <c r="D59" s="28" t="s">
        <v>988</v>
      </c>
      <c r="E59" s="36" t="str">
        <f>HYPERLINK("https://youtu.be/jHoCnJhfqWo?t=5740","channel 1")</f>
        <v>channel 1</v>
      </c>
    </row>
    <row r="60">
      <c r="A60" s="7"/>
      <c r="B60" s="28" t="s">
        <v>986</v>
      </c>
      <c r="C60" s="12" t="s">
        <v>143</v>
      </c>
      <c r="D60" s="28" t="s">
        <v>81</v>
      </c>
      <c r="E60" s="13" t="str">
        <f>HYPERLINK("https://youtu.be/6DnptHJ-rQE?t=5905","channel 2")</f>
        <v>channel 2</v>
      </c>
    </row>
    <row r="61">
      <c r="A61" s="7"/>
      <c r="B61" s="28" t="s">
        <v>716</v>
      </c>
      <c r="C61" s="12" t="s">
        <v>49</v>
      </c>
      <c r="D61" s="28" t="s">
        <v>988</v>
      </c>
      <c r="E61" s="36" t="str">
        <f>HYPERLINK("https://youtu.be/jHoCnJhfqWo?t=6664","channel 1")</f>
        <v>channel 1</v>
      </c>
    </row>
    <row r="62">
      <c r="A62" s="7"/>
      <c r="B62" s="28" t="s">
        <v>985</v>
      </c>
      <c r="C62" s="18" t="s">
        <v>133</v>
      </c>
      <c r="D62" s="28" t="s">
        <v>81</v>
      </c>
      <c r="E62" s="13" t="str">
        <f>HYPERLINK("https://youtu.be/6DnptHJ-rQE?t=6784","channel 2")</f>
        <v>channel 2</v>
      </c>
    </row>
    <row r="63">
      <c r="A63" s="7"/>
      <c r="B63" s="28" t="s">
        <v>986</v>
      </c>
      <c r="C63" s="12" t="s">
        <v>337</v>
      </c>
      <c r="D63" s="28" t="s">
        <v>988</v>
      </c>
      <c r="E63" s="36" t="str">
        <f>HYPERLINK("https://youtu.be/jHoCnJhfqWo?t=7745","channel 1")</f>
        <v>channel 1</v>
      </c>
    </row>
    <row r="64">
      <c r="A64" s="7"/>
      <c r="B64" s="28" t="s">
        <v>985</v>
      </c>
      <c r="C64" s="12" t="s">
        <v>992</v>
      </c>
      <c r="D64" s="28" t="s">
        <v>716</v>
      </c>
      <c r="E64" s="13" t="str">
        <f>HYPERLINK("https://youtu.be/6DnptHJ-rQE?t=7771","channel 2")</f>
        <v>channel 2</v>
      </c>
    </row>
    <row r="65">
      <c r="A65" s="7"/>
      <c r="B65" s="28" t="s">
        <v>81</v>
      </c>
      <c r="C65" s="12" t="s">
        <v>109</v>
      </c>
      <c r="D65" s="28" t="s">
        <v>988</v>
      </c>
      <c r="E65" s="36" t="str">
        <f>HYPERLINK("https://youtu.be/jHoCnJhfqWo?t=8666","channel 1")</f>
        <v>channel 1</v>
      </c>
    </row>
    <row r="66">
      <c r="A66" s="7"/>
      <c r="B66" s="28" t="s">
        <v>986</v>
      </c>
      <c r="C66" s="12" t="s">
        <v>418</v>
      </c>
      <c r="D66" s="28" t="s">
        <v>716</v>
      </c>
      <c r="E66" s="13" t="str">
        <f>HYPERLINK("https://youtu.be/6DnptHJ-rQE?t=8664","channel 2")</f>
        <v>channel 2</v>
      </c>
    </row>
    <row r="67">
      <c r="A67" s="7"/>
      <c r="B67" s="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996</v>
      </c>
      <c r="C69" s="12" t="s">
        <v>365</v>
      </c>
      <c r="D69" s="28" t="s">
        <v>413</v>
      </c>
      <c r="E69" s="36" t="str">
        <f>HYPERLINK("https://youtu.be/qiXZ8cEEYlM","channel 1")</f>
        <v>channel 1</v>
      </c>
    </row>
    <row r="70">
      <c r="A70" s="7"/>
      <c r="B70" s="28" t="s">
        <v>644</v>
      </c>
      <c r="C70" s="12" t="s">
        <v>103</v>
      </c>
      <c r="D70" s="28" t="s">
        <v>697</v>
      </c>
      <c r="E70" s="13" t="str">
        <f>HYPERLINK("https://youtu.be/TV9kd_tAJ3I","channel 2")</f>
        <v>channel 2</v>
      </c>
    </row>
    <row r="71">
      <c r="A71" s="7"/>
      <c r="B71" s="28" t="s">
        <v>643</v>
      </c>
      <c r="C71" s="12" t="s">
        <v>232</v>
      </c>
      <c r="D71" s="28" t="s">
        <v>996</v>
      </c>
      <c r="E71" s="36" t="str">
        <f>HYPERLINK("https://youtu.be/qiXZ8cEEYlM?t=900","channel 1")</f>
        <v>channel 1</v>
      </c>
    </row>
    <row r="72">
      <c r="A72" s="7"/>
      <c r="B72" s="28" t="s">
        <v>644</v>
      </c>
      <c r="C72" s="12" t="s">
        <v>408</v>
      </c>
      <c r="D72" s="28" t="s">
        <v>413</v>
      </c>
      <c r="E72" s="13" t="str">
        <f>HYPERLINK("https://youtu.be/TV9kd_tAJ3I?t=854","channel 2")</f>
        <v>channel 2</v>
      </c>
    </row>
    <row r="73">
      <c r="A73" s="7"/>
      <c r="B73" s="28" t="s">
        <v>643</v>
      </c>
      <c r="C73" s="12" t="s">
        <v>272</v>
      </c>
      <c r="D73" s="28" t="s">
        <v>697</v>
      </c>
      <c r="E73" s="36" t="str">
        <f>HYPERLINK("https://youtu.be/qiXZ8cEEYlM?t=1871","channel 1")</f>
        <v>channel 1</v>
      </c>
    </row>
    <row r="74">
      <c r="A74" s="7"/>
      <c r="B74" s="28" t="s">
        <v>644</v>
      </c>
      <c r="C74" s="12" t="s">
        <v>339</v>
      </c>
      <c r="D74" s="28" t="s">
        <v>996</v>
      </c>
      <c r="E74" s="13" t="str">
        <f>HYPERLINK("https://youtu.be/TV9kd_tAJ3I?t=1753","channel 2")</f>
        <v>channel 2</v>
      </c>
    </row>
    <row r="75">
      <c r="A75" s="7"/>
      <c r="B75" s="28" t="s">
        <v>643</v>
      </c>
      <c r="C75" s="12" t="s">
        <v>241</v>
      </c>
      <c r="D75" s="28" t="s">
        <v>413</v>
      </c>
      <c r="E75" s="36" t="str">
        <f>HYPERLINK("https://youtu.be/qiXZ8cEEYlM?t=2793","channel 1")</f>
        <v>channel 1</v>
      </c>
    </row>
    <row r="76">
      <c r="A76" s="7"/>
      <c r="B76" s="28" t="s">
        <v>697</v>
      </c>
      <c r="C76" s="12" t="s">
        <v>538</v>
      </c>
      <c r="D76" s="28" t="s">
        <v>996</v>
      </c>
      <c r="E76" s="13" t="str">
        <f>HYPERLINK("https://youtu.be/TV9kd_tAJ3I?t=2956","channel 2")</f>
        <v>channel 2</v>
      </c>
    </row>
    <row r="77">
      <c r="A77" s="7"/>
      <c r="B77" s="28" t="s">
        <v>643</v>
      </c>
      <c r="C77" s="12" t="s">
        <v>111</v>
      </c>
      <c r="D77" s="28" t="s">
        <v>644</v>
      </c>
      <c r="E77" s="36" t="str">
        <f>HYPERLINK("https://youtu.be/qiXZ8cEEYlM?t=3740","channel 1")</f>
        <v>channel 1</v>
      </c>
    </row>
    <row r="78">
      <c r="A78" s="7"/>
      <c r="B78" s="28" t="s">
        <v>697</v>
      </c>
      <c r="C78" s="12" t="s">
        <v>462</v>
      </c>
      <c r="D78" s="28" t="s">
        <v>413</v>
      </c>
      <c r="E78" s="13" t="str">
        <f>HYPERLINK("https://youtu.be/TV9kd_tAJ3I?t=3763","channel 2")</f>
        <v>channel 2</v>
      </c>
    </row>
    <row r="79">
      <c r="A79" s="7"/>
      <c r="B79" s="28" t="s">
        <v>413</v>
      </c>
      <c r="C79" s="12" t="s">
        <v>148</v>
      </c>
      <c r="D79" s="28" t="s">
        <v>996</v>
      </c>
      <c r="E79" s="36" t="str">
        <f>HYPERLINK("https://youtu.be/qiXZ8cEEYlM?t=4674","channel 1")</f>
        <v>channel 1</v>
      </c>
    </row>
    <row r="80">
      <c r="A80" s="7"/>
      <c r="B80" s="28" t="s">
        <v>697</v>
      </c>
      <c r="C80" s="12" t="s">
        <v>74</v>
      </c>
      <c r="D80" s="28" t="s">
        <v>644</v>
      </c>
      <c r="E80" s="23" t="s">
        <v>28</v>
      </c>
    </row>
    <row r="81">
      <c r="A81" s="7"/>
      <c r="B81" s="28" t="s">
        <v>996</v>
      </c>
      <c r="C81" s="12" t="s">
        <v>34</v>
      </c>
      <c r="D81" s="28" t="s">
        <v>643</v>
      </c>
      <c r="E81" s="36" t="str">
        <f>HYPERLINK("https://youtu.be/qiXZ8cEEYlM?t=5621","channel 1")</f>
        <v>channel 1</v>
      </c>
    </row>
    <row r="82">
      <c r="A82" s="7"/>
      <c r="B82" s="28" t="s">
        <v>413</v>
      </c>
      <c r="C82" s="12" t="s">
        <v>143</v>
      </c>
      <c r="D82" s="28" t="s">
        <v>644</v>
      </c>
      <c r="E82" s="13" t="str">
        <f>HYPERLINK("https://youtu.be/TV9kd_tAJ3I?t=4702","channel 2")</f>
        <v>channel 2</v>
      </c>
    </row>
    <row r="83">
      <c r="A83" s="7"/>
      <c r="B83" s="28" t="s">
        <v>697</v>
      </c>
      <c r="C83" s="12" t="s">
        <v>109</v>
      </c>
      <c r="D83" s="28" t="s">
        <v>643</v>
      </c>
      <c r="E83" s="36" t="str">
        <f>HYPERLINK("https://youtu.be/qiXZ8cEEYlM?t=6528","channel 1")</f>
        <v>channel 1</v>
      </c>
    </row>
    <row r="84">
      <c r="A84" s="7"/>
      <c r="B84" s="28" t="s">
        <v>996</v>
      </c>
      <c r="C84" s="12" t="s">
        <v>97</v>
      </c>
      <c r="D84" s="28" t="s">
        <v>644</v>
      </c>
      <c r="E84" s="13" t="str">
        <f>HYPERLINK("https://youtu.be/TV9kd_tAJ3I?t=6603","channel 2")</f>
        <v>channel 2</v>
      </c>
    </row>
    <row r="85">
      <c r="A85" s="7"/>
      <c r="B85" s="28" t="s">
        <v>413</v>
      </c>
      <c r="C85" s="12" t="s">
        <v>148</v>
      </c>
      <c r="D85" s="28" t="s">
        <v>643</v>
      </c>
      <c r="E85" s="36" t="str">
        <f>HYPERLINK("https://youtu.be/qiXZ8cEEYlM?t=7488","channel 1")</f>
        <v>channel 1</v>
      </c>
    </row>
    <row r="86">
      <c r="A86" s="7"/>
      <c r="B86" s="28" t="s">
        <v>996</v>
      </c>
      <c r="C86" s="12" t="s">
        <v>212</v>
      </c>
      <c r="D86" s="28" t="s">
        <v>697</v>
      </c>
      <c r="E86" s="13" t="str">
        <f>HYPERLINK("https://youtu.be/TV9kd_tAJ3I?t=7534","channel 2")</f>
        <v>channel 2</v>
      </c>
    </row>
    <row r="87">
      <c r="A87" s="7"/>
      <c r="B87" s="28" t="s">
        <v>644</v>
      </c>
      <c r="C87" s="12" t="s">
        <v>106</v>
      </c>
      <c r="D87" s="28" t="s">
        <v>643</v>
      </c>
      <c r="E87" s="36" t="str">
        <f>HYPERLINK("https://youtu.be/qiXZ8cEEYlM?t=8346","channel 1")</f>
        <v>channel 1</v>
      </c>
    </row>
    <row r="88">
      <c r="A88" s="25"/>
      <c r="B88" s="28" t="s">
        <v>413</v>
      </c>
      <c r="C88" s="12" t="s">
        <v>608</v>
      </c>
      <c r="D88" s="28" t="s">
        <v>697</v>
      </c>
      <c r="E88" s="13" t="str">
        <f>HYPERLINK("https://youtu.be/TV9kd_tAJ3I?t=8388","channel 2")</f>
        <v>channel 2</v>
      </c>
    </row>
    <row r="89">
      <c r="B89" s="2" t="s">
        <v>510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282</v>
      </c>
      <c r="C91" s="12" t="s">
        <v>257</v>
      </c>
      <c r="D91" s="28" t="s">
        <v>96</v>
      </c>
      <c r="E91" s="36" t="str">
        <f>HYPERLINK("https://youtu.be/88PIj8rD8VY","channel 1")</f>
        <v>channel 1</v>
      </c>
    </row>
    <row r="92">
      <c r="B92" s="28" t="s">
        <v>1007</v>
      </c>
      <c r="C92" s="12" t="s">
        <v>311</v>
      </c>
      <c r="D92" s="28" t="s">
        <v>1008</v>
      </c>
      <c r="E92" s="13" t="str">
        <f>HYPERLINK("https://youtu.be/sJfyxIYr9kg","channel 2")</f>
        <v>channel 2</v>
      </c>
    </row>
    <row r="93">
      <c r="B93" s="28" t="s">
        <v>614</v>
      </c>
      <c r="C93" s="12" t="s">
        <v>770</v>
      </c>
      <c r="D93" s="28" t="s">
        <v>282</v>
      </c>
      <c r="E93" s="36" t="str">
        <f>HYPERLINK("https://youtu.be/88PIj8rD8VY?t=1198","channel 1")</f>
        <v>channel 1</v>
      </c>
    </row>
    <row r="94">
      <c r="B94" s="28" t="s">
        <v>1007</v>
      </c>
      <c r="C94" s="12" t="s">
        <v>851</v>
      </c>
      <c r="D94" s="28" t="s">
        <v>96</v>
      </c>
      <c r="E94" s="13" t="str">
        <f>HYPERLINK("https://youtu.be/sJfyxIYr9kg?t=768","channel 2")</f>
        <v>channel 2</v>
      </c>
    </row>
    <row r="95">
      <c r="B95" s="28" t="s">
        <v>614</v>
      </c>
      <c r="C95" s="12" t="s">
        <v>461</v>
      </c>
      <c r="D95" s="28" t="s">
        <v>1008</v>
      </c>
      <c r="E95" s="36" t="str">
        <f>HYPERLINK("https://youtu.be/88PIj8rD8VY?t=2188","channel 1")</f>
        <v>channel 1</v>
      </c>
    </row>
    <row r="96">
      <c r="B96" s="28" t="s">
        <v>1007</v>
      </c>
      <c r="C96" s="12" t="s">
        <v>99</v>
      </c>
      <c r="D96" s="28" t="s">
        <v>282</v>
      </c>
      <c r="E96" s="13" t="str">
        <f>HYPERLINK("https://youtu.be/sJfyxIYr9kg?t=1652","channel 2")</f>
        <v>channel 2</v>
      </c>
    </row>
    <row r="97">
      <c r="B97" s="28" t="s">
        <v>614</v>
      </c>
      <c r="C97" s="12" t="s">
        <v>93</v>
      </c>
      <c r="D97" s="28" t="s">
        <v>96</v>
      </c>
      <c r="E97" s="36" t="str">
        <f>HYPERLINK("https://youtu.be/88PIj8rD8VY?t=3135","channel 1")</f>
        <v>channel 1</v>
      </c>
    </row>
    <row r="98">
      <c r="B98" s="28" t="s">
        <v>1008</v>
      </c>
      <c r="C98" s="12" t="s">
        <v>30</v>
      </c>
      <c r="D98" s="28" t="s">
        <v>282</v>
      </c>
      <c r="E98" s="13" t="str">
        <f>HYPERLINK("https://youtu.be/sJfyxIYr9kg?t=2583","channel 2")</f>
        <v>channel 2</v>
      </c>
    </row>
    <row r="99">
      <c r="B99" s="28" t="s">
        <v>614</v>
      </c>
      <c r="C99" s="12" t="s">
        <v>646</v>
      </c>
      <c r="D99" s="28" t="s">
        <v>1007</v>
      </c>
      <c r="E99" s="36" t="str">
        <f>HYPERLINK("https://youtu.be/88PIj8rD8VY?t=4060","channel 1")</f>
        <v>channel 1</v>
      </c>
    </row>
    <row r="100">
      <c r="B100" s="28" t="s">
        <v>1008</v>
      </c>
      <c r="C100" s="12" t="s">
        <v>104</v>
      </c>
      <c r="D100" s="28" t="s">
        <v>96</v>
      </c>
      <c r="E100" s="13" t="str">
        <f>HYPERLINK("https://youtu.be/sJfyxIYr9kg?t=3560","channel 2")</f>
        <v>channel 2</v>
      </c>
    </row>
    <row r="101">
      <c r="B101" s="28" t="s">
        <v>96</v>
      </c>
      <c r="C101" s="12" t="s">
        <v>93</v>
      </c>
      <c r="D101" s="28" t="s">
        <v>282</v>
      </c>
      <c r="E101" s="36" t="str">
        <f>HYPERLINK("https://youtu.be/88PIj8rD8VY?t=4933","channel 1")</f>
        <v>channel 1</v>
      </c>
    </row>
    <row r="102">
      <c r="B102" s="28" t="s">
        <v>1008</v>
      </c>
      <c r="C102" s="12" t="s">
        <v>30</v>
      </c>
      <c r="D102" s="28" t="s">
        <v>1007</v>
      </c>
      <c r="E102" s="13" t="str">
        <f>HYPERLINK("https://youtu.be/sJfyxIYr9kg?t=4445","channel 2")</f>
        <v>channel 2</v>
      </c>
    </row>
    <row r="103">
      <c r="B103" s="28" t="s">
        <v>282</v>
      </c>
      <c r="C103" s="12" t="s">
        <v>730</v>
      </c>
      <c r="D103" s="28" t="s">
        <v>614</v>
      </c>
      <c r="E103" s="36" t="str">
        <f>HYPERLINK("https://youtu.be/88PIj8rD8VY?t=5860","channel 1")</f>
        <v>channel 1</v>
      </c>
    </row>
    <row r="104">
      <c r="B104" s="28" t="s">
        <v>96</v>
      </c>
      <c r="C104" s="12" t="s">
        <v>18</v>
      </c>
      <c r="D104" s="28" t="s">
        <v>1007</v>
      </c>
      <c r="E104" s="13" t="str">
        <f>HYPERLINK("https://youtu.be/sJfyxIYr9kg?t=5384","channel 2")</f>
        <v>channel 2</v>
      </c>
    </row>
    <row r="105">
      <c r="B105" s="28" t="s">
        <v>1008</v>
      </c>
      <c r="C105" s="12" t="s">
        <v>577</v>
      </c>
      <c r="D105" s="28" t="s">
        <v>614</v>
      </c>
      <c r="E105" s="36" t="str">
        <f>HYPERLINK("https://youtu.be/88PIj8rD8VY?t=6840","channel 1")</f>
        <v>channel 1</v>
      </c>
    </row>
    <row r="106">
      <c r="B106" s="28" t="s">
        <v>282</v>
      </c>
      <c r="C106" s="12" t="s">
        <v>37</v>
      </c>
      <c r="D106" s="28" t="s">
        <v>1007</v>
      </c>
      <c r="E106" s="13" t="str">
        <f>HYPERLINK("https://youtu.be/sJfyxIYr9kg?t=6330","channel 2")</f>
        <v>channel 2</v>
      </c>
    </row>
    <row r="107">
      <c r="B107" s="28" t="s">
        <v>96</v>
      </c>
      <c r="C107" s="12" t="s">
        <v>522</v>
      </c>
      <c r="D107" s="28" t="s">
        <v>614</v>
      </c>
      <c r="E107" s="36" t="str">
        <f>HYPERLINK("https://youtu.be/88PIj8rD8VY?t=7807","channel 1")</f>
        <v>channel 1</v>
      </c>
    </row>
    <row r="108">
      <c r="B108" s="28" t="s">
        <v>282</v>
      </c>
      <c r="C108" s="12" t="s">
        <v>111</v>
      </c>
      <c r="D108" s="28" t="s">
        <v>1008</v>
      </c>
      <c r="E108" s="13" t="str">
        <f>HYPERLINK("https://youtu.be/sJfyxIYr9kg?t=7277","channel 2")</f>
        <v>channel 2</v>
      </c>
    </row>
    <row r="109">
      <c r="B109" s="28" t="s">
        <v>1007</v>
      </c>
      <c r="C109" s="12" t="s">
        <v>38</v>
      </c>
      <c r="D109" s="28" t="s">
        <v>614</v>
      </c>
      <c r="E109" s="36" t="str">
        <f>HYPERLINK("https://youtu.be/88PIj8rD8VY?t=8770","channel 1")</f>
        <v>channel 1</v>
      </c>
    </row>
    <row r="110">
      <c r="B110" s="28" t="s">
        <v>96</v>
      </c>
      <c r="C110" s="12" t="s">
        <v>46</v>
      </c>
      <c r="D110" s="28" t="s">
        <v>1008</v>
      </c>
      <c r="E110" s="13" t="str">
        <f>HYPERLINK("https://youtu.be/sJfyxIYr9kg?t=8246","channel 2")</f>
        <v>channel 2</v>
      </c>
    </row>
    <row r="111">
      <c r="B111" s="2" t="s">
        <v>920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921</v>
      </c>
      <c r="C113" s="12" t="s">
        <v>210</v>
      </c>
      <c r="D113" s="28" t="s">
        <v>1012</v>
      </c>
      <c r="E113" s="36" t="str">
        <f>HYPERLINK("https://youtu.be/Eb91_Q6jvTY","channel 1")</f>
        <v>channel 1</v>
      </c>
    </row>
    <row r="114">
      <c r="B114" s="28" t="s">
        <v>1013</v>
      </c>
      <c r="C114" s="12" t="s">
        <v>142</v>
      </c>
      <c r="D114" s="28" t="s">
        <v>1014</v>
      </c>
      <c r="E114" s="13" t="str">
        <f>HYPERLINK("https://youtu.be/vejvwYnmAB0","channel 2")</f>
        <v>channel 2</v>
      </c>
    </row>
    <row r="115">
      <c r="B115" s="28" t="s">
        <v>1015</v>
      </c>
      <c r="C115" s="12" t="s">
        <v>477</v>
      </c>
      <c r="D115" s="28" t="s">
        <v>921</v>
      </c>
      <c r="E115" s="36" t="str">
        <f>HYPERLINK("https://youtu.be/Eb91_Q6jvTY?t=941","channel 1")</f>
        <v>channel 1</v>
      </c>
    </row>
    <row r="116">
      <c r="B116" s="28" t="s">
        <v>1013</v>
      </c>
      <c r="C116" s="12" t="s">
        <v>1018</v>
      </c>
      <c r="D116" s="28" t="s">
        <v>1012</v>
      </c>
      <c r="E116" s="13" t="str">
        <f>HYPERLINK("https://youtu.be/vejvwYnmAB0?t=957","channel 2")</f>
        <v>channel 2</v>
      </c>
    </row>
    <row r="117">
      <c r="B117" s="28" t="s">
        <v>1015</v>
      </c>
      <c r="C117" s="12" t="s">
        <v>146</v>
      </c>
      <c r="D117" s="28" t="s">
        <v>1014</v>
      </c>
      <c r="E117" s="36" t="str">
        <f>HYPERLINK("https://youtu.be/Eb91_Q6jvTY?t=1883","channel 1")</f>
        <v>channel 1</v>
      </c>
    </row>
    <row r="118">
      <c r="B118" s="28" t="s">
        <v>1013</v>
      </c>
      <c r="C118" s="12" t="s">
        <v>145</v>
      </c>
      <c r="D118" s="28" t="s">
        <v>921</v>
      </c>
      <c r="E118" s="13" t="str">
        <f>HYPERLINK("https://youtu.be/vejvwYnmAB0?t=1729","channel 2")</f>
        <v>channel 2</v>
      </c>
    </row>
    <row r="119">
      <c r="B119" s="28" t="s">
        <v>1015</v>
      </c>
      <c r="C119" s="12" t="s">
        <v>190</v>
      </c>
      <c r="D119" s="28" t="s">
        <v>1012</v>
      </c>
      <c r="E119" s="36" t="str">
        <f>HYPERLINK("https://youtu.be/Eb91_Q6jvTY?t=2832","channel 1")</f>
        <v>channel 1</v>
      </c>
    </row>
    <row r="120">
      <c r="B120" s="28" t="s">
        <v>1014</v>
      </c>
      <c r="C120" s="12" t="s">
        <v>296</v>
      </c>
      <c r="D120" s="28" t="s">
        <v>921</v>
      </c>
      <c r="E120" s="13" t="str">
        <f>HYPERLINK("https://youtu.be/vejvwYnmAB0?t=2678","channel 2")</f>
        <v>channel 2</v>
      </c>
    </row>
    <row r="121">
      <c r="B121" s="28" t="s">
        <v>1015</v>
      </c>
      <c r="C121" s="12" t="s">
        <v>414</v>
      </c>
      <c r="D121" s="28" t="s">
        <v>1013</v>
      </c>
      <c r="E121" s="36" t="str">
        <f>HYPERLINK("https://youtu.be/Eb91_Q6jvTY?t=3694","channel 1")</f>
        <v>channel 1</v>
      </c>
    </row>
    <row r="122">
      <c r="B122" s="28" t="s">
        <v>1014</v>
      </c>
      <c r="C122" s="12" t="s">
        <v>10</v>
      </c>
      <c r="D122" s="28" t="s">
        <v>1012</v>
      </c>
      <c r="E122" s="13" t="str">
        <f>HYPERLINK("https://youtu.be/vejvwYnmAB0?t=3659","channel 2")</f>
        <v>channel 2</v>
      </c>
    </row>
    <row r="123">
      <c r="B123" s="28" t="s">
        <v>1012</v>
      </c>
      <c r="C123" s="12" t="s">
        <v>272</v>
      </c>
      <c r="D123" s="28" t="s">
        <v>921</v>
      </c>
      <c r="E123" s="36" t="str">
        <f>HYPERLINK("https://youtu.be/Eb91_Q6jvTY?t=4595","channel 1")</f>
        <v>channel 1</v>
      </c>
    </row>
    <row r="124">
      <c r="B124" s="28" t="s">
        <v>1014</v>
      </c>
      <c r="C124" s="12" t="s">
        <v>754</v>
      </c>
      <c r="D124" s="28" t="s">
        <v>1013</v>
      </c>
      <c r="E124" s="13" t="str">
        <f>HYPERLINK("https://youtu.be/vejvwYnmAB0?t=4508","channel 2")</f>
        <v>channel 2</v>
      </c>
    </row>
    <row r="125">
      <c r="B125" s="28" t="s">
        <v>921</v>
      </c>
      <c r="C125" s="12" t="s">
        <v>142</v>
      </c>
      <c r="D125" s="28" t="s">
        <v>1015</v>
      </c>
      <c r="E125" s="36" t="str">
        <f>HYPERLINK("https://youtu.be/Eb91_Q6jvTY?t=5505","channel 1")</f>
        <v>channel 1</v>
      </c>
    </row>
    <row r="126">
      <c r="B126" s="28" t="s">
        <v>1012</v>
      </c>
      <c r="C126" s="12" t="s">
        <v>1002</v>
      </c>
      <c r="D126" s="28" t="s">
        <v>1013</v>
      </c>
      <c r="E126" s="13" t="str">
        <f>HYPERLINK("https://youtu.be/vejvwYnmAB0?t=5411","channel 2")</f>
        <v>channel 2</v>
      </c>
    </row>
    <row r="127">
      <c r="B127" s="28" t="s">
        <v>1014</v>
      </c>
      <c r="C127" s="12" t="s">
        <v>49</v>
      </c>
      <c r="D127" s="28" t="s">
        <v>1015</v>
      </c>
      <c r="E127" s="36" t="str">
        <f>HYPERLINK("https://youtu.be/Eb91_Q6jvTY?t=6414","channel 1")</f>
        <v>channel 1</v>
      </c>
    </row>
    <row r="128">
      <c r="B128" s="28" t="s">
        <v>921</v>
      </c>
      <c r="C128" s="12" t="s">
        <v>216</v>
      </c>
      <c r="D128" s="28" t="s">
        <v>1013</v>
      </c>
      <c r="E128" s="13" t="str">
        <f>HYPERLINK("https://youtu.be/vejvwYnmAB0?t=6384","channel 2")</f>
        <v>channel 2</v>
      </c>
    </row>
    <row r="129">
      <c r="B129" s="28" t="s">
        <v>1012</v>
      </c>
      <c r="C129" s="12" t="s">
        <v>435</v>
      </c>
      <c r="D129" s="28" t="s">
        <v>1015</v>
      </c>
      <c r="E129" s="36" t="str">
        <f>HYPERLINK("https://youtu.be/Eb91_Q6jvTY?t=7371","channel 1")</f>
        <v>channel 1</v>
      </c>
    </row>
    <row r="130">
      <c r="B130" s="28" t="s">
        <v>921</v>
      </c>
      <c r="C130" s="12" t="s">
        <v>311</v>
      </c>
      <c r="D130" s="28" t="s">
        <v>1014</v>
      </c>
      <c r="E130" s="13" t="str">
        <f>HYPERLINK("https://youtu.be/vejvwYnmAB0?t=7403","channel 2")</f>
        <v>channel 2</v>
      </c>
    </row>
    <row r="131">
      <c r="B131" s="28" t="s">
        <v>1013</v>
      </c>
      <c r="C131" s="12" t="s">
        <v>237</v>
      </c>
      <c r="D131" s="28" t="s">
        <v>1015</v>
      </c>
      <c r="E131" s="36" t="str">
        <f>HYPERLINK("https://youtu.be/Eb91_Q6jvTY?t=8273","channel 1")</f>
        <v>channel 1</v>
      </c>
    </row>
    <row r="132">
      <c r="B132" s="28" t="s">
        <v>1012</v>
      </c>
      <c r="C132" s="12" t="s">
        <v>38</v>
      </c>
      <c r="D132" s="28" t="s">
        <v>1014</v>
      </c>
      <c r="E132" s="13" t="str">
        <f>HYPERLINK("https://youtu.be/vejvwYnmAB0?t=8314","channel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989</v>
      </c>
      <c r="C3" s="12" t="s">
        <v>132</v>
      </c>
      <c r="D3" s="28" t="s">
        <v>896</v>
      </c>
      <c r="E3" s="36" t="str">
        <f>HYPERLINK("https://youtu.be/MQ5e9uybjJo","channel 1")</f>
        <v>channel 1</v>
      </c>
    </row>
    <row r="4">
      <c r="A4" s="7"/>
      <c r="B4" s="28" t="s">
        <v>336</v>
      </c>
      <c r="C4" s="12" t="s">
        <v>990</v>
      </c>
      <c r="D4" s="28" t="s">
        <v>489</v>
      </c>
      <c r="E4" s="13" t="str">
        <f>HYPERLINK("https://youtu.be/DrTty5Iir_o","channel 2")</f>
        <v>channel 2</v>
      </c>
    </row>
    <row r="5">
      <c r="A5" s="7"/>
      <c r="B5" s="28" t="s">
        <v>991</v>
      </c>
      <c r="C5" s="12" t="s">
        <v>30</v>
      </c>
      <c r="D5" s="28" t="s">
        <v>989</v>
      </c>
      <c r="E5" s="36" t="str">
        <f>HYPERLINK("https://youtu.be/MQ5e9uybjJo?t=947","channel 1")</f>
        <v>channel 1</v>
      </c>
    </row>
    <row r="6">
      <c r="A6" s="7"/>
      <c r="B6" s="28" t="s">
        <v>336</v>
      </c>
      <c r="C6" s="12" t="s">
        <v>74</v>
      </c>
      <c r="D6" s="28" t="s">
        <v>896</v>
      </c>
      <c r="E6" s="13" t="str">
        <f>HYPERLINK("https://youtu.be/DrTty5Iir_o?t=1007","channel 2")</f>
        <v>channel 2</v>
      </c>
    </row>
    <row r="7">
      <c r="A7" s="7"/>
      <c r="B7" s="28" t="s">
        <v>991</v>
      </c>
      <c r="C7" s="12" t="s">
        <v>42</v>
      </c>
      <c r="D7" s="28" t="s">
        <v>489</v>
      </c>
      <c r="E7" s="36" t="str">
        <f>HYPERLINK("https://youtu.be/MQ5e9uybjJo?t=1857","channel 1")</f>
        <v>channel 1</v>
      </c>
    </row>
    <row r="8">
      <c r="A8" s="7"/>
      <c r="B8" s="28" t="s">
        <v>336</v>
      </c>
      <c r="C8" s="12" t="s">
        <v>54</v>
      </c>
      <c r="D8" s="28" t="s">
        <v>989</v>
      </c>
      <c r="E8" s="13" t="str">
        <f>HYPERLINK("https://youtu.be/DrTty5Iir_o?t=1866","channel 2")</f>
        <v>channel 2</v>
      </c>
    </row>
    <row r="9">
      <c r="A9" s="7"/>
      <c r="B9" s="28" t="s">
        <v>991</v>
      </c>
      <c r="C9" s="12" t="s">
        <v>148</v>
      </c>
      <c r="D9" s="28" t="s">
        <v>896</v>
      </c>
      <c r="E9" s="36" t="str">
        <f>HYPERLINK("https://youtu.be/MQ5e9uybjJo?t=2794","channel 1")</f>
        <v>channel 1</v>
      </c>
    </row>
    <row r="10">
      <c r="A10" s="7"/>
      <c r="B10" s="28" t="s">
        <v>489</v>
      </c>
      <c r="C10" s="12" t="s">
        <v>538</v>
      </c>
      <c r="D10" s="28" t="s">
        <v>989</v>
      </c>
      <c r="E10" s="13" t="str">
        <f>HYPERLINK("https://youtu.be/DrTty5Iir_o?t=2777","channel 2")</f>
        <v>channel 2</v>
      </c>
    </row>
    <row r="11">
      <c r="A11" s="7"/>
      <c r="B11" s="28" t="s">
        <v>991</v>
      </c>
      <c r="C11" s="12" t="s">
        <v>93</v>
      </c>
      <c r="D11" s="28" t="s">
        <v>336</v>
      </c>
      <c r="E11" s="36" t="str">
        <f>HYPERLINK("https://youtu.be/MQ5e9uybjJo?t=3695","channel 1")</f>
        <v>channel 1</v>
      </c>
    </row>
    <row r="12">
      <c r="A12" s="7"/>
      <c r="B12" s="28" t="s">
        <v>489</v>
      </c>
      <c r="C12" s="12" t="s">
        <v>993</v>
      </c>
      <c r="D12" s="28" t="s">
        <v>896</v>
      </c>
      <c r="E12" s="13" t="str">
        <f>HYPERLINK("https://youtu.be/DrTty5Iir_o?t=3701","channel 2")</f>
        <v>channel 2</v>
      </c>
    </row>
    <row r="13">
      <c r="A13" s="7"/>
      <c r="B13" s="28" t="s">
        <v>896</v>
      </c>
      <c r="C13" s="12" t="s">
        <v>538</v>
      </c>
      <c r="D13" s="28" t="s">
        <v>989</v>
      </c>
      <c r="E13" s="36" t="str">
        <f>HYPERLINK("https://youtu.be/MQ5e9uybjJo?t=4635","channel 1")</f>
        <v>channel 1</v>
      </c>
    </row>
    <row r="14">
      <c r="A14" s="7"/>
      <c r="B14" s="28" t="s">
        <v>489</v>
      </c>
      <c r="C14" s="12" t="s">
        <v>922</v>
      </c>
      <c r="D14" s="28" t="s">
        <v>336</v>
      </c>
      <c r="E14" s="13" t="str">
        <f>HYPERLINK("https://youtu.be/DrTty5Iir_o?t=4586","channel 2")</f>
        <v>channel 2</v>
      </c>
    </row>
    <row r="15">
      <c r="A15" s="7"/>
      <c r="B15" s="28" t="s">
        <v>989</v>
      </c>
      <c r="C15" s="12" t="s">
        <v>210</v>
      </c>
      <c r="D15" s="28" t="s">
        <v>991</v>
      </c>
      <c r="E15" s="36" t="str">
        <f>HYPERLINK("https://youtu.be/MQ5e9uybjJo?t=5651","channel 1")</f>
        <v>channel 1</v>
      </c>
    </row>
    <row r="16">
      <c r="A16" s="7"/>
      <c r="B16" s="28" t="s">
        <v>896</v>
      </c>
      <c r="C16" s="12" t="s">
        <v>54</v>
      </c>
      <c r="D16" s="28" t="s">
        <v>336</v>
      </c>
      <c r="E16" s="13" t="str">
        <f>HYPERLINK("https://youtu.be/DrTty5Iir_o?t=5599","channel 2")</f>
        <v>channel 2</v>
      </c>
    </row>
    <row r="17">
      <c r="A17" s="7"/>
      <c r="B17" s="28" t="s">
        <v>489</v>
      </c>
      <c r="C17" s="12" t="s">
        <v>180</v>
      </c>
      <c r="D17" s="28" t="s">
        <v>991</v>
      </c>
      <c r="E17" s="36" t="str">
        <f>HYPERLINK("https://youtu.be/MQ5e9uybjJo?t=6521","channel 1")</f>
        <v>channel 1</v>
      </c>
    </row>
    <row r="18">
      <c r="A18" s="7"/>
      <c r="B18" s="28" t="s">
        <v>989</v>
      </c>
      <c r="C18" s="12" t="s">
        <v>49</v>
      </c>
      <c r="D18" s="28" t="s">
        <v>336</v>
      </c>
      <c r="E18" s="13" t="str">
        <f>HYPERLINK("https://youtu.be/DrTty5Iir_o?t=6479","channel 2")</f>
        <v>channel 2</v>
      </c>
    </row>
    <row r="19">
      <c r="A19" s="7"/>
      <c r="B19" s="28" t="s">
        <v>896</v>
      </c>
      <c r="C19" s="12" t="s">
        <v>241</v>
      </c>
      <c r="D19" s="28" t="s">
        <v>991</v>
      </c>
      <c r="E19" s="36" t="str">
        <f>HYPERLINK("https://youtu.be/MQ5e9uybjJo?t=7467","channel 1")</f>
        <v>channel 1</v>
      </c>
    </row>
    <row r="20">
      <c r="A20" s="7"/>
      <c r="B20" s="28" t="s">
        <v>989</v>
      </c>
      <c r="C20" s="12" t="s">
        <v>216</v>
      </c>
      <c r="D20" s="28" t="s">
        <v>489</v>
      </c>
      <c r="E20" s="13" t="str">
        <f>HYPERLINK("https://youtu.be/DrTty5Iir_o?t=7355","channel 2")</f>
        <v>channel 2</v>
      </c>
    </row>
    <row r="21">
      <c r="A21" s="7"/>
      <c r="B21" s="28" t="s">
        <v>336</v>
      </c>
      <c r="C21" s="12" t="s">
        <v>180</v>
      </c>
      <c r="D21" s="28" t="s">
        <v>991</v>
      </c>
      <c r="E21" s="36" t="str">
        <f>HYPERLINK("https://youtu.be/MQ5e9uybjJo?t=8415","channel 1")</f>
        <v>channel 1</v>
      </c>
    </row>
    <row r="22">
      <c r="A22" s="7"/>
      <c r="B22" s="28" t="s">
        <v>896</v>
      </c>
      <c r="C22" s="12" t="s">
        <v>360</v>
      </c>
      <c r="D22" s="28" t="s">
        <v>489</v>
      </c>
      <c r="E22" s="13" t="str">
        <f>HYPERLINK("https://youtu.be/DrTty5Iir_o?t=7355","channel 2")</f>
        <v>channel 2</v>
      </c>
    </row>
    <row r="23">
      <c r="A23" s="7"/>
      <c r="B23" s="2" t="s">
        <v>64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997</v>
      </c>
      <c r="C25" s="12" t="s">
        <v>42</v>
      </c>
      <c r="D25" s="28" t="s">
        <v>998</v>
      </c>
      <c r="E25" s="36" t="str">
        <f>HYPERLINK("https://youtu.be/BYquzyroDCY","channel 1")</f>
        <v>channel 1</v>
      </c>
    </row>
    <row r="26">
      <c r="A26" s="7"/>
      <c r="B26" s="28" t="s">
        <v>999</v>
      </c>
      <c r="C26" s="12" t="s">
        <v>384</v>
      </c>
      <c r="D26" s="28" t="s">
        <v>1000</v>
      </c>
      <c r="E26" s="13" t="str">
        <f>HYPERLINK("https://youtu.be/Z7bqxf8lB4o","channel 2")</f>
        <v>channel 2</v>
      </c>
    </row>
    <row r="27">
      <c r="A27" s="7"/>
      <c r="B27" s="28" t="s">
        <v>1001</v>
      </c>
      <c r="C27" s="12" t="s">
        <v>477</v>
      </c>
      <c r="D27" s="28" t="s">
        <v>997</v>
      </c>
      <c r="E27" s="36" t="str">
        <f>HYPERLINK("https://youtu.be/BYquzyroDCY?t=959","channel 1")</f>
        <v>channel 1</v>
      </c>
    </row>
    <row r="28">
      <c r="A28" s="7"/>
      <c r="B28" s="28" t="s">
        <v>999</v>
      </c>
      <c r="C28" s="12" t="s">
        <v>309</v>
      </c>
      <c r="D28" s="28" t="s">
        <v>998</v>
      </c>
      <c r="E28" s="13" t="str">
        <f>HYPERLINK("https://youtu.be/p0e-_8lBIgc","channel 2")</f>
        <v>channel 2</v>
      </c>
    </row>
    <row r="29">
      <c r="A29" s="7"/>
      <c r="B29" s="28" t="s">
        <v>1001</v>
      </c>
      <c r="C29" s="12" t="s">
        <v>322</v>
      </c>
      <c r="D29" s="28" t="s">
        <v>1000</v>
      </c>
      <c r="E29" s="36" t="str">
        <f>HYPERLINK("https://youtu.be/BYquzyroDCY?t=1850","channel 1")</f>
        <v>channel 1</v>
      </c>
    </row>
    <row r="30">
      <c r="A30" s="7"/>
      <c r="B30" s="28" t="s">
        <v>999</v>
      </c>
      <c r="C30" s="12" t="s">
        <v>44</v>
      </c>
      <c r="D30" s="28" t="s">
        <v>997</v>
      </c>
      <c r="E30" s="13" t="str">
        <f>HYPERLINK("https://www.youtube.com/watch?v=Z7bqxf8lB4o&amp;feature=youtu.be&amp;t=1911","channel 2")</f>
        <v>channel 2</v>
      </c>
    </row>
    <row r="31">
      <c r="A31" s="7"/>
      <c r="B31" s="28" t="s">
        <v>1001</v>
      </c>
      <c r="C31" s="12" t="s">
        <v>319</v>
      </c>
      <c r="D31" s="28" t="s">
        <v>998</v>
      </c>
      <c r="E31" s="36" t="str">
        <f>HYPERLINK("https://youtu.be/BYquzyroDCY?t=2826","channel 1")</f>
        <v>channel 1</v>
      </c>
    </row>
    <row r="32">
      <c r="A32" s="7"/>
      <c r="B32" s="28" t="s">
        <v>1000</v>
      </c>
      <c r="C32" s="12" t="s">
        <v>106</v>
      </c>
      <c r="D32" s="28" t="s">
        <v>997</v>
      </c>
      <c r="E32" s="13" t="str">
        <f>HYPERLINK("https://www.youtube.com/watch?v=Z7bqxf8lB4o&amp;feature=youtu.be&amp;t=2803","channel 2")</f>
        <v>channel 2</v>
      </c>
    </row>
    <row r="33">
      <c r="A33" s="7"/>
      <c r="B33" s="28" t="s">
        <v>1001</v>
      </c>
      <c r="C33" s="12" t="s">
        <v>436</v>
      </c>
      <c r="D33" s="28" t="s">
        <v>999</v>
      </c>
      <c r="E33" s="36" t="str">
        <f>HYPERLINK("https://youtu.be/BYquzyroDCY?t=3752","channel 1")</f>
        <v>channel 1</v>
      </c>
    </row>
    <row r="34">
      <c r="A34" s="7"/>
      <c r="B34" s="28" t="s">
        <v>1000</v>
      </c>
      <c r="C34" s="12" t="s">
        <v>109</v>
      </c>
      <c r="D34" s="28" t="s">
        <v>998</v>
      </c>
      <c r="E34" s="13" t="str">
        <f>HYPERLINK("https://www.youtube.com/watch?v=Z7bqxf8lB4o&amp;feature=youtu.be&amp;t=3763","channel 2")</f>
        <v>channel 2</v>
      </c>
    </row>
    <row r="35">
      <c r="A35" s="7"/>
      <c r="B35" s="28" t="s">
        <v>998</v>
      </c>
      <c r="C35" s="12" t="s">
        <v>522</v>
      </c>
      <c r="D35" s="28" t="s">
        <v>997</v>
      </c>
      <c r="E35" s="36" t="str">
        <f>HYPERLINK("https://youtu.be/BYquzyroDCY?t=4664","channel 1")</f>
        <v>channel 1</v>
      </c>
    </row>
    <row r="36">
      <c r="A36" s="7"/>
      <c r="B36" s="28" t="s">
        <v>1000</v>
      </c>
      <c r="C36" s="12" t="s">
        <v>1002</v>
      </c>
      <c r="D36" s="28" t="s">
        <v>999</v>
      </c>
      <c r="E36" s="13" t="str">
        <f>HYPERLINK("https://www.youtube.com/watch?v=Z7bqxf8lB4o&amp;feature=youtu.be&amp;t=4719","channel 2")</f>
        <v>channel 2</v>
      </c>
    </row>
    <row r="37">
      <c r="A37" s="7"/>
      <c r="B37" s="28" t="s">
        <v>997</v>
      </c>
      <c r="C37" s="12" t="s">
        <v>124</v>
      </c>
      <c r="D37" s="28" t="s">
        <v>1001</v>
      </c>
      <c r="E37" s="36" t="str">
        <f>HYPERLINK("https://youtu.be/BYquzyroDCY?t=5602","channel 1")</f>
        <v>channel 1</v>
      </c>
    </row>
    <row r="38">
      <c r="A38" s="7"/>
      <c r="B38" s="28" t="s">
        <v>998</v>
      </c>
      <c r="C38" s="12" t="s">
        <v>10</v>
      </c>
      <c r="D38" s="28" t="s">
        <v>999</v>
      </c>
      <c r="E38" s="13" t="str">
        <f>HYPERLINK("https://youtu.be/Z7bqxf8lB4o?t=5708","channel 2")</f>
        <v>channel 2</v>
      </c>
    </row>
    <row r="39">
      <c r="A39" s="7"/>
      <c r="B39" s="28" t="s">
        <v>1000</v>
      </c>
      <c r="C39" s="18" t="s">
        <v>97</v>
      </c>
      <c r="D39" s="28" t="s">
        <v>1001</v>
      </c>
      <c r="E39" s="36" t="str">
        <f>HYPERLINK("https://youtu.be/BYquzyroDCY?t=6478","channel 1")</f>
        <v>channel 1</v>
      </c>
    </row>
    <row r="40">
      <c r="A40" s="7"/>
      <c r="B40" s="28" t="s">
        <v>997</v>
      </c>
      <c r="C40" s="12" t="s">
        <v>74</v>
      </c>
      <c r="D40" s="28" t="s">
        <v>999</v>
      </c>
      <c r="E40" s="13" t="str">
        <f>HYPERLINK("https://youtu.be/Z7bqxf8lB4o?t=6663","channel 2")</f>
        <v>channel 2</v>
      </c>
    </row>
    <row r="41">
      <c r="A41" s="7"/>
      <c r="B41" s="28" t="s">
        <v>998</v>
      </c>
      <c r="C41" s="12" t="s">
        <v>168</v>
      </c>
      <c r="D41" s="28" t="s">
        <v>1001</v>
      </c>
      <c r="E41" s="36" t="str">
        <f>HYPERLINK("https://youtu.be/BYquzyroDCY?t=7432","channel 1")</f>
        <v>channel 1</v>
      </c>
    </row>
    <row r="42">
      <c r="A42" s="7"/>
      <c r="B42" s="28" t="s">
        <v>997</v>
      </c>
      <c r="C42" s="12" t="s">
        <v>572</v>
      </c>
      <c r="D42" s="28" t="s">
        <v>1000</v>
      </c>
      <c r="E42" s="13" t="str">
        <f>HYPERLINK("https://youtu.be/Z7bqxf8lB4o?t=7574","channel 2")</f>
        <v>channel 2</v>
      </c>
    </row>
    <row r="43">
      <c r="A43" s="7"/>
      <c r="B43" s="28" t="s">
        <v>999</v>
      </c>
      <c r="C43" s="12" t="s">
        <v>141</v>
      </c>
      <c r="D43" s="28" t="s">
        <v>1001</v>
      </c>
      <c r="E43" s="36" t="str">
        <f>HYPERLINK("https://youtu.be/BYquzyroDCY?t=8335","channel 1")</f>
        <v>channel 1</v>
      </c>
    </row>
    <row r="44">
      <c r="A44" s="7"/>
      <c r="B44" s="28" t="s">
        <v>998</v>
      </c>
      <c r="C44" s="12" t="s">
        <v>124</v>
      </c>
      <c r="D44" s="28" t="s">
        <v>1000</v>
      </c>
      <c r="E44" s="13" t="str">
        <f>HYPERLINK("https://youtu.be/Z7bqxf8lB4o?t=8481","channel 2")</f>
        <v>channel 2</v>
      </c>
    </row>
    <row r="45">
      <c r="A45" s="7"/>
      <c r="B45" s="2" t="s">
        <v>1003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1004</v>
      </c>
      <c r="C47" s="12" t="s">
        <v>1005</v>
      </c>
      <c r="D47" s="28" t="s">
        <v>1006</v>
      </c>
      <c r="E47" s="36" t="str">
        <f>HYPERLINK("https://youtu.be/PJ1Tam59QKk","channel 1")</f>
        <v>channel 1</v>
      </c>
    </row>
    <row r="48">
      <c r="A48" s="7"/>
      <c r="B48" s="28" t="s">
        <v>1009</v>
      </c>
      <c r="C48" s="12" t="s">
        <v>113</v>
      </c>
      <c r="D48" s="28" t="s">
        <v>1010</v>
      </c>
      <c r="E48" s="13" t="str">
        <f>HYPERLINK("https://youtu.be/p0e-_8lBIgc","channel 2")</f>
        <v>channel 2</v>
      </c>
    </row>
    <row r="49">
      <c r="A49" s="7"/>
      <c r="B49" s="28" t="s">
        <v>1011</v>
      </c>
      <c r="C49" s="12" t="s">
        <v>37</v>
      </c>
      <c r="D49" s="28" t="s">
        <v>1004</v>
      </c>
      <c r="E49" s="36" t="str">
        <f>HYPERLINK("https://youtu.be/PJ1Tam59QKk?t=1669","channel 1")</f>
        <v>channel 1</v>
      </c>
    </row>
    <row r="50">
      <c r="A50" s="7"/>
      <c r="B50" s="28" t="s">
        <v>1009</v>
      </c>
      <c r="C50" s="12" t="s">
        <v>46</v>
      </c>
      <c r="D50" s="28" t="s">
        <v>1006</v>
      </c>
      <c r="E50" s="13" t="str">
        <f>HYPERLINK("https://youtu.be/p0e-_8lBIgc?t=3212","channel 2")</f>
        <v>channel 2</v>
      </c>
    </row>
    <row r="51">
      <c r="A51" s="7"/>
      <c r="B51" s="28" t="s">
        <v>1011</v>
      </c>
      <c r="C51" s="12" t="s">
        <v>89</v>
      </c>
      <c r="D51" s="28" t="s">
        <v>1010</v>
      </c>
      <c r="E51" s="36" t="str">
        <f>HYPERLINK("https://youtu.be/PJ1Tam59QKk?t=2613","channel 1")</f>
        <v>channel 1</v>
      </c>
    </row>
    <row r="52">
      <c r="A52" s="7"/>
      <c r="B52" s="28" t="s">
        <v>1009</v>
      </c>
      <c r="C52" s="12" t="s">
        <v>156</v>
      </c>
      <c r="D52" s="28" t="s">
        <v>1004</v>
      </c>
      <c r="E52" s="13" t="str">
        <f>HYPERLINK("https://youtu.be/p0e-_8lBIgc?t=4146","channel 2")</f>
        <v>channel 2</v>
      </c>
    </row>
    <row r="53">
      <c r="A53" s="7"/>
      <c r="B53" s="28" t="s">
        <v>1011</v>
      </c>
      <c r="C53" s="12" t="s">
        <v>46</v>
      </c>
      <c r="D53" s="28" t="s">
        <v>1006</v>
      </c>
      <c r="E53" s="36" t="str">
        <f>HYPERLINK("https://youtu.be/PJ1Tam59QKk?t=3578","channel 1")</f>
        <v>channel 1</v>
      </c>
    </row>
    <row r="54">
      <c r="A54" s="7"/>
      <c r="B54" s="28" t="s">
        <v>1010</v>
      </c>
      <c r="C54" s="12" t="s">
        <v>213</v>
      </c>
      <c r="D54" s="28" t="s">
        <v>1004</v>
      </c>
      <c r="E54" s="13" t="str">
        <f>HYPERLINK("https://youtu.be/p0e-_8lBIgc?t=5136","channel 2")</f>
        <v>channel 2</v>
      </c>
    </row>
    <row r="55">
      <c r="A55" s="7"/>
      <c r="B55" s="28" t="s">
        <v>1011</v>
      </c>
      <c r="C55" s="12" t="s">
        <v>328</v>
      </c>
      <c r="D55" s="28" t="s">
        <v>1009</v>
      </c>
      <c r="E55" s="36" t="str">
        <f>HYPERLINK("https://youtu.be/PJ1Tam59QKk?t=4501","channel 1")</f>
        <v>channel 1</v>
      </c>
    </row>
    <row r="56">
      <c r="A56" s="7"/>
      <c r="B56" s="28" t="s">
        <v>1010</v>
      </c>
      <c r="C56" s="12" t="s">
        <v>478</v>
      </c>
      <c r="D56" s="28" t="s">
        <v>1006</v>
      </c>
      <c r="E56" s="13" t="str">
        <f>HYPERLINK("https://youtu.be/p0e-_8lBIgc?t=6072","channel 2")</f>
        <v>channel 2</v>
      </c>
    </row>
    <row r="57">
      <c r="A57" s="7"/>
      <c r="B57" s="28" t="s">
        <v>1006</v>
      </c>
      <c r="C57" s="12" t="s">
        <v>281</v>
      </c>
      <c r="D57" s="28" t="s">
        <v>1004</v>
      </c>
      <c r="E57" s="36" t="str">
        <f>HYPERLINK("https://youtu.be/PJ1Tam59QKk?t=5412","channel 1")</f>
        <v>channel 1</v>
      </c>
    </row>
    <row r="58">
      <c r="A58" s="7"/>
      <c r="B58" s="28" t="s">
        <v>1010</v>
      </c>
      <c r="C58" s="12" t="s">
        <v>304</v>
      </c>
      <c r="D58" s="28" t="s">
        <v>1009</v>
      </c>
      <c r="E58" s="13" t="str">
        <f>HYPERLINK("https://youtu.be/p0e-_8lBIgc?t=7035","channel 2")</f>
        <v>channel 2</v>
      </c>
    </row>
    <row r="59">
      <c r="A59" s="7"/>
      <c r="B59" s="28" t="s">
        <v>1004</v>
      </c>
      <c r="C59" s="22" t="s">
        <v>58</v>
      </c>
      <c r="D59" s="28" t="s">
        <v>1011</v>
      </c>
      <c r="E59" s="50" t="s">
        <v>26</v>
      </c>
    </row>
    <row r="60">
      <c r="A60" s="7"/>
      <c r="B60" s="28" t="s">
        <v>1006</v>
      </c>
      <c r="C60" s="22" t="s">
        <v>58</v>
      </c>
      <c r="D60" s="28" t="s">
        <v>1009</v>
      </c>
      <c r="E60" s="23" t="s">
        <v>28</v>
      </c>
    </row>
    <row r="61">
      <c r="A61" s="7"/>
      <c r="B61" s="28" t="s">
        <v>1010</v>
      </c>
      <c r="C61" s="22" t="s">
        <v>58</v>
      </c>
      <c r="D61" s="28" t="s">
        <v>1011</v>
      </c>
      <c r="E61" s="50" t="s">
        <v>26</v>
      </c>
    </row>
    <row r="62">
      <c r="A62" s="7"/>
      <c r="B62" s="28" t="s">
        <v>1004</v>
      </c>
      <c r="C62" s="22" t="s">
        <v>58</v>
      </c>
      <c r="D62" s="28" t="s">
        <v>1009</v>
      </c>
      <c r="E62" s="23" t="s">
        <v>28</v>
      </c>
    </row>
    <row r="63">
      <c r="A63" s="7"/>
      <c r="B63" s="28" t="s">
        <v>1006</v>
      </c>
      <c r="C63" s="22" t="s">
        <v>58</v>
      </c>
      <c r="D63" s="28" t="s">
        <v>1011</v>
      </c>
      <c r="E63" s="50" t="s">
        <v>26</v>
      </c>
    </row>
    <row r="64">
      <c r="A64" s="7"/>
      <c r="B64" s="28" t="s">
        <v>1004</v>
      </c>
      <c r="C64" s="22" t="s">
        <v>58</v>
      </c>
      <c r="D64" s="28" t="s">
        <v>1010</v>
      </c>
      <c r="E64" s="23" t="s">
        <v>28</v>
      </c>
    </row>
    <row r="65">
      <c r="A65" s="7"/>
      <c r="B65" s="28" t="s">
        <v>1009</v>
      </c>
      <c r="C65" s="22" t="s">
        <v>58</v>
      </c>
      <c r="D65" s="28" t="s">
        <v>1011</v>
      </c>
      <c r="E65" s="50" t="s">
        <v>26</v>
      </c>
    </row>
    <row r="66">
      <c r="A66" s="7"/>
      <c r="B66" s="28" t="s">
        <v>1006</v>
      </c>
      <c r="C66" s="22" t="s">
        <v>58</v>
      </c>
      <c r="D66" s="28" t="s">
        <v>1010</v>
      </c>
      <c r="E66" s="23" t="s">
        <v>28</v>
      </c>
    </row>
    <row r="67">
      <c r="A67" s="7"/>
      <c r="B67" s="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996</v>
      </c>
      <c r="C69" s="12" t="s">
        <v>18</v>
      </c>
      <c r="D69" s="28" t="s">
        <v>812</v>
      </c>
      <c r="E69" s="36" t="str">
        <f>HYPERLINK("https://youtu.be/zlKmJqit2fY","channel 1")</f>
        <v>channel 1</v>
      </c>
    </row>
    <row r="70">
      <c r="A70" s="7"/>
      <c r="B70" s="28" t="s">
        <v>791</v>
      </c>
      <c r="C70" s="12" t="s">
        <v>538</v>
      </c>
      <c r="D70" s="28" t="s">
        <v>1016</v>
      </c>
      <c r="E70" s="13" t="str">
        <f>HYPERLINK("https://youtu.be/GmoMCbFn1G4","channel 2")</f>
        <v>channel 2</v>
      </c>
    </row>
    <row r="71">
      <c r="A71" s="7"/>
      <c r="B71" s="28" t="s">
        <v>1017</v>
      </c>
      <c r="C71" s="12" t="s">
        <v>362</v>
      </c>
      <c r="D71" s="28" t="s">
        <v>996</v>
      </c>
      <c r="E71" s="36" t="str">
        <f>HYPERLINK("https://youtu.be/zlKmJqit2fY?t=996","channel 1")</f>
        <v>channel 1</v>
      </c>
    </row>
    <row r="72">
      <c r="A72" s="7"/>
      <c r="B72" s="28" t="s">
        <v>791</v>
      </c>
      <c r="C72" s="12" t="s">
        <v>44</v>
      </c>
      <c r="D72" s="28" t="s">
        <v>812</v>
      </c>
      <c r="E72" s="13" t="str">
        <f>HYPERLINK("https://youtu.be/GmoMCbFn1G4?t=1072","channel 2")</f>
        <v>channel 2</v>
      </c>
    </row>
    <row r="73">
      <c r="A73" s="7"/>
      <c r="B73" s="28" t="s">
        <v>1017</v>
      </c>
      <c r="C73" s="12" t="s">
        <v>214</v>
      </c>
      <c r="D73" s="28" t="s">
        <v>1016</v>
      </c>
      <c r="E73" s="36" t="str">
        <f>HYPERLINK("https://youtu.be/zlKmJqit2fY?t=1941","channel 1")</f>
        <v>channel 1</v>
      </c>
    </row>
    <row r="74">
      <c r="A74" s="7"/>
      <c r="B74" s="28" t="s">
        <v>791</v>
      </c>
      <c r="C74" s="12" t="s">
        <v>111</v>
      </c>
      <c r="D74" s="28" t="s">
        <v>996</v>
      </c>
      <c r="E74" s="13" t="str">
        <f>HYPERLINK("https://youtu.be/GmoMCbFn1G4?t=1964","channel 2")</f>
        <v>channel 2</v>
      </c>
    </row>
    <row r="75">
      <c r="A75" s="7"/>
      <c r="B75" s="28" t="s">
        <v>1017</v>
      </c>
      <c r="C75" s="12" t="s">
        <v>630</v>
      </c>
      <c r="D75" s="28" t="s">
        <v>812</v>
      </c>
      <c r="E75" s="36" t="str">
        <f>HYPERLINK("https://youtu.be/zlKmJqit2fY?t=2935","channel 1")</f>
        <v>channel 1</v>
      </c>
    </row>
    <row r="76">
      <c r="A76" s="7"/>
      <c r="B76" s="28" t="s">
        <v>1016</v>
      </c>
      <c r="C76" s="12" t="s">
        <v>143</v>
      </c>
      <c r="D76" s="28" t="s">
        <v>996</v>
      </c>
      <c r="E76" s="13" t="str">
        <f>HYPERLINK("https://youtu.be/GmoMCbFn1G4?t=2938","channel 2")</f>
        <v>channel 2</v>
      </c>
    </row>
    <row r="77">
      <c r="A77" s="7"/>
      <c r="B77" s="28" t="s">
        <v>1017</v>
      </c>
      <c r="C77" s="12" t="s">
        <v>89</v>
      </c>
      <c r="D77" s="28" t="s">
        <v>791</v>
      </c>
      <c r="E77" s="36" t="str">
        <f>HYPERLINK("https://youtu.be/zlKmJqit2fY?t=3900","channel 1")</f>
        <v>channel 1</v>
      </c>
    </row>
    <row r="78">
      <c r="A78" s="7"/>
      <c r="B78" s="28" t="s">
        <v>1016</v>
      </c>
      <c r="C78" s="12" t="s">
        <v>1019</v>
      </c>
      <c r="D78" s="28" t="s">
        <v>812</v>
      </c>
      <c r="E78" s="13" t="str">
        <f>HYPERLINK("https://youtu.be/GmoMCbFn1G4?t=3853","channel 2")</f>
        <v>channel 2</v>
      </c>
    </row>
    <row r="79">
      <c r="A79" s="7"/>
      <c r="B79" s="28" t="s">
        <v>812</v>
      </c>
      <c r="C79" s="12" t="s">
        <v>77</v>
      </c>
      <c r="D79" s="28" t="s">
        <v>996</v>
      </c>
      <c r="E79" s="36" t="str">
        <f>HYPERLINK("https://youtu.be/zlKmJqit2fY?t=4818","channel 1")</f>
        <v>channel 1</v>
      </c>
    </row>
    <row r="80">
      <c r="A80" s="7"/>
      <c r="B80" s="28" t="s">
        <v>1016</v>
      </c>
      <c r="C80" s="12" t="s">
        <v>77</v>
      </c>
      <c r="D80" s="28" t="s">
        <v>791</v>
      </c>
      <c r="E80" s="13" t="str">
        <f>HYPERLINK("https://youtu.be/GmoMCbFn1G4?t=4827","channel 2")</f>
        <v>channel 2</v>
      </c>
    </row>
    <row r="81">
      <c r="A81" s="7"/>
      <c r="B81" s="28" t="s">
        <v>996</v>
      </c>
      <c r="C81" s="12" t="s">
        <v>109</v>
      </c>
      <c r="D81" s="28" t="s">
        <v>1017</v>
      </c>
      <c r="E81" s="36" t="str">
        <f>HYPERLINK("https://youtu.be/zlKmJqit2fY?t=5750","channel 1")</f>
        <v>channel 1</v>
      </c>
    </row>
    <row r="82">
      <c r="A82" s="7"/>
      <c r="B82" s="28" t="s">
        <v>812</v>
      </c>
      <c r="C82" s="12" t="s">
        <v>1020</v>
      </c>
      <c r="D82" s="28" t="s">
        <v>791</v>
      </c>
      <c r="E82" s="13" t="str">
        <f>HYPERLINK("https://youtu.be/GmoMCbFn1G4?t=5826","channel 2")</f>
        <v>channel 2</v>
      </c>
    </row>
    <row r="83">
      <c r="A83" s="7"/>
      <c r="B83" s="28" t="s">
        <v>1016</v>
      </c>
      <c r="C83" s="12" t="s">
        <v>237</v>
      </c>
      <c r="D83" s="28" t="s">
        <v>1017</v>
      </c>
      <c r="E83" s="36" t="str">
        <f>HYPERLINK("https://youtu.be/zlKmJqit2fY?t=6730","channel 1")</f>
        <v>channel 1</v>
      </c>
    </row>
    <row r="84">
      <c r="A84" s="7"/>
      <c r="B84" s="28" t="s">
        <v>996</v>
      </c>
      <c r="C84" s="12" t="s">
        <v>117</v>
      </c>
      <c r="D84" s="28" t="s">
        <v>791</v>
      </c>
      <c r="E84" s="13" t="str">
        <f>HYPERLINK("https://youtu.be/GmoMCbFn1G4?t=6808","channel 2")</f>
        <v>channel 2</v>
      </c>
    </row>
    <row r="85">
      <c r="A85" s="7"/>
      <c r="B85" s="28" t="s">
        <v>812</v>
      </c>
      <c r="C85" s="12" t="s">
        <v>117</v>
      </c>
      <c r="D85" s="28" t="s">
        <v>1017</v>
      </c>
      <c r="E85" s="36" t="str">
        <f>HYPERLINK("https://youtu.be/zlKmJqit2fY?t=7674","channel 1")</f>
        <v>channel 1</v>
      </c>
    </row>
    <row r="86">
      <c r="A86" s="7"/>
      <c r="B86" s="28" t="s">
        <v>996</v>
      </c>
      <c r="C86" s="12" t="s">
        <v>232</v>
      </c>
      <c r="D86" s="28" t="s">
        <v>1016</v>
      </c>
      <c r="E86" s="13" t="str">
        <f>HYPERLINK("https://youtu.be/GmoMCbFn1G4?t=7707","channel 2")</f>
        <v>channel 2</v>
      </c>
    </row>
    <row r="87">
      <c r="A87" s="7"/>
      <c r="B87" s="28" t="s">
        <v>791</v>
      </c>
      <c r="C87" s="12" t="s">
        <v>572</v>
      </c>
      <c r="D87" s="28" t="s">
        <v>1017</v>
      </c>
      <c r="E87" s="36" t="str">
        <f>HYPERLINK("https://youtu.be/zlKmJqit2fY?t=8687","channel 1")</f>
        <v>channel 1</v>
      </c>
    </row>
    <row r="88">
      <c r="A88" s="25"/>
      <c r="B88" s="28" t="s">
        <v>812</v>
      </c>
      <c r="C88" s="12" t="s">
        <v>1021</v>
      </c>
      <c r="D88" s="28" t="s">
        <v>1016</v>
      </c>
      <c r="E88" s="13" t="str">
        <f>HYPERLINK("https://youtu.be/GmoMCbFn1G4?t=8689","channel 2")</f>
        <v>channel 2</v>
      </c>
    </row>
    <row r="89">
      <c r="B89" s="2" t="s">
        <v>510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1022</v>
      </c>
      <c r="C91" s="12" t="s">
        <v>74</v>
      </c>
      <c r="D91" s="28" t="s">
        <v>1023</v>
      </c>
      <c r="E91" s="36" t="str">
        <f>HYPERLINK("https://youtu.be/2VKV_uos8RE","channel 1")</f>
        <v>channel 1</v>
      </c>
    </row>
    <row r="92">
      <c r="B92" s="28" t="s">
        <v>1024</v>
      </c>
      <c r="C92" s="12" t="s">
        <v>49</v>
      </c>
      <c r="D92" s="28" t="s">
        <v>1025</v>
      </c>
      <c r="E92" s="13" t="str">
        <f>HYPERLINK("https://youtu.be/otCtV0nZoyQ","channel 2")</f>
        <v>channel 2</v>
      </c>
    </row>
    <row r="93">
      <c r="B93" s="28" t="s">
        <v>1026</v>
      </c>
      <c r="C93" s="12" t="s">
        <v>84</v>
      </c>
      <c r="D93" s="28" t="s">
        <v>1022</v>
      </c>
      <c r="E93" s="36" t="str">
        <f>HYPERLINK("https://youtu.be/2VKV_uos8RE?t=876","channel 1")</f>
        <v>channel 1</v>
      </c>
    </row>
    <row r="94">
      <c r="B94" s="28" t="s">
        <v>1024</v>
      </c>
      <c r="C94" s="12" t="s">
        <v>32</v>
      </c>
      <c r="D94" s="28" t="s">
        <v>1023</v>
      </c>
      <c r="E94" s="13" t="str">
        <f>HYPERLINK("https://youtu.be/otCtV0nZoyQ?t=910","channel 2")</f>
        <v>channel 2</v>
      </c>
    </row>
    <row r="95">
      <c r="B95" s="28" t="s">
        <v>1026</v>
      </c>
      <c r="C95" s="12" t="s">
        <v>74</v>
      </c>
      <c r="D95" s="28" t="s">
        <v>1025</v>
      </c>
      <c r="E95" s="36" t="str">
        <f>HYPERLINK("https://youtu.be/2VKV_uos8RE?t=1908","channel 1")</f>
        <v>channel 1</v>
      </c>
    </row>
    <row r="96">
      <c r="B96" s="28" t="s">
        <v>1024</v>
      </c>
      <c r="C96" s="12" t="s">
        <v>74</v>
      </c>
      <c r="D96" s="28" t="s">
        <v>1022</v>
      </c>
      <c r="E96" s="13" t="str">
        <f>HYPERLINK("https://youtu.be/otCtV0nZoyQ?t=1811","channel 2")</f>
        <v>channel 2</v>
      </c>
    </row>
    <row r="97">
      <c r="B97" s="28" t="s">
        <v>1026</v>
      </c>
      <c r="C97" s="12" t="s">
        <v>46</v>
      </c>
      <c r="D97" s="28" t="s">
        <v>1023</v>
      </c>
      <c r="E97" s="36" t="str">
        <f>HYPERLINK("https://youtu.be/2VKV_uos8RE?t=2890","channel 1")</f>
        <v>channel 1</v>
      </c>
    </row>
    <row r="98">
      <c r="B98" s="28" t="s">
        <v>1025</v>
      </c>
      <c r="C98" s="12" t="s">
        <v>106</v>
      </c>
      <c r="D98" s="28" t="s">
        <v>1022</v>
      </c>
      <c r="E98" s="13" t="str">
        <f>HYPERLINK("https://youtu.be/otCtV0nZoyQ?t=2852","channel 2")</f>
        <v>channel 2</v>
      </c>
    </row>
    <row r="99">
      <c r="B99" s="28" t="s">
        <v>1026</v>
      </c>
      <c r="C99" s="12" t="s">
        <v>24</v>
      </c>
      <c r="D99" s="28" t="s">
        <v>1024</v>
      </c>
      <c r="E99" s="36" t="str">
        <f>HYPERLINK("https://youtu.be/2VKV_uos8RE?t=3860","channel 1")</f>
        <v>channel 1</v>
      </c>
    </row>
    <row r="100">
      <c r="B100" s="28" t="s">
        <v>1025</v>
      </c>
      <c r="C100" s="12" t="s">
        <v>97</v>
      </c>
      <c r="D100" s="28" t="s">
        <v>1023</v>
      </c>
      <c r="E100" s="13" t="str">
        <f>HYPERLINK("https://youtu.be/otCtV0nZoyQ?t=3787","channel 2")</f>
        <v>channel 2</v>
      </c>
    </row>
    <row r="101">
      <c r="B101" s="28" t="s">
        <v>1023</v>
      </c>
      <c r="C101" s="12" t="s">
        <v>34</v>
      </c>
      <c r="D101" s="28" t="s">
        <v>1022</v>
      </c>
      <c r="E101" s="36" t="str">
        <f>HYPERLINK("https://youtu.be/2VKV_uos8RE?t=4782","channel 1")</f>
        <v>channel 1</v>
      </c>
    </row>
    <row r="102">
      <c r="B102" s="28" t="s">
        <v>1025</v>
      </c>
      <c r="C102" s="12" t="s">
        <v>188</v>
      </c>
      <c r="D102" s="28" t="s">
        <v>1024</v>
      </c>
      <c r="E102" s="13" t="str">
        <f>HYPERLINK("https://youtu.be/otCtV0nZoyQ?t=4700","channel 2")</f>
        <v>channel 2</v>
      </c>
    </row>
    <row r="103">
      <c r="B103" s="28" t="s">
        <v>1022</v>
      </c>
      <c r="C103" s="12" t="s">
        <v>18</v>
      </c>
      <c r="D103" s="28" t="s">
        <v>1026</v>
      </c>
      <c r="E103" s="36" t="str">
        <f>HYPERLINK("https://youtu.be/2VKV_uos8RE?t=5734","channel 1")</f>
        <v>channel 1</v>
      </c>
    </row>
    <row r="104">
      <c r="B104" s="28" t="s">
        <v>1023</v>
      </c>
      <c r="C104" s="12" t="s">
        <v>578</v>
      </c>
      <c r="D104" s="28" t="s">
        <v>1024</v>
      </c>
      <c r="E104" s="13" t="str">
        <f>HYPERLINK("https://youtu.be/otCtV0nZoyQ?t=5718","channel 2")</f>
        <v>channel 2</v>
      </c>
    </row>
    <row r="105">
      <c r="B105" s="28" t="s">
        <v>1025</v>
      </c>
      <c r="C105" s="12" t="s">
        <v>646</v>
      </c>
      <c r="D105" s="28" t="s">
        <v>1026</v>
      </c>
      <c r="E105" s="36" t="str">
        <f>HYPERLINK("https://youtu.be/2VKV_uos8RE?t=6726","channel 1")</f>
        <v>channel 1</v>
      </c>
    </row>
    <row r="106">
      <c r="B106" s="28" t="s">
        <v>1022</v>
      </c>
      <c r="C106" s="12" t="s">
        <v>328</v>
      </c>
      <c r="D106" s="28" t="s">
        <v>1024</v>
      </c>
      <c r="E106" s="13" t="str">
        <f>HYPERLINK("https://youtu.be/otCtV0nZoyQ?t=6636","channel 2")</f>
        <v>channel 2</v>
      </c>
    </row>
    <row r="107">
      <c r="B107" s="28" t="s">
        <v>1023</v>
      </c>
      <c r="C107" s="12" t="s">
        <v>37</v>
      </c>
      <c r="D107" s="28" t="s">
        <v>1026</v>
      </c>
      <c r="E107" s="36" t="str">
        <f>HYPERLINK("https://youtu.be/2VKV_uos8RE?t=7730","channel 1")</f>
        <v>channel 1</v>
      </c>
    </row>
    <row r="108">
      <c r="B108" s="28" t="s">
        <v>1022</v>
      </c>
      <c r="C108" s="12" t="s">
        <v>90</v>
      </c>
      <c r="D108" s="28" t="s">
        <v>1025</v>
      </c>
      <c r="E108" s="13" t="str">
        <f>HYPERLINK("https://youtu.be/otCtV0nZoyQ?t=7730","channel 2")</f>
        <v>channel 2</v>
      </c>
    </row>
    <row r="109">
      <c r="B109" s="28" t="s">
        <v>1024</v>
      </c>
      <c r="C109" s="12" t="s">
        <v>109</v>
      </c>
      <c r="D109" s="28" t="s">
        <v>1026</v>
      </c>
      <c r="E109" s="36" t="str">
        <f>HYPERLINK("https://youtu.be/2VKV_uos8RE?t=8714","channel 1")</f>
        <v>channel 1</v>
      </c>
    </row>
    <row r="110">
      <c r="B110" s="28" t="s">
        <v>1023</v>
      </c>
      <c r="C110" s="12" t="s">
        <v>24</v>
      </c>
      <c r="D110" s="28" t="s">
        <v>1025</v>
      </c>
      <c r="E110" s="13" t="str">
        <f>HYPERLINK("https://youtu.be/otCtV0nZoyQ?t=8707","channel 2")</f>
        <v>channel 2</v>
      </c>
    </row>
    <row r="111">
      <c r="B111" s="2" t="s">
        <v>738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1027</v>
      </c>
      <c r="C113" s="12" t="s">
        <v>35</v>
      </c>
      <c r="D113" s="28" t="s">
        <v>1028</v>
      </c>
      <c r="E113" s="36" t="str">
        <f>HYPERLINK("https://youtu.be/U4nl3MKDt20","channel 1")</f>
        <v>channel 1</v>
      </c>
    </row>
    <row r="114">
      <c r="B114" s="28" t="s">
        <v>534</v>
      </c>
      <c r="C114" s="12" t="s">
        <v>871</v>
      </c>
      <c r="D114" s="28" t="s">
        <v>1008</v>
      </c>
      <c r="E114" s="13" t="str">
        <f>HYPERLINK("https://youtu.be/PYcUYiHQHkg","channel 2")</f>
        <v>channel 2</v>
      </c>
    </row>
    <row r="115">
      <c r="B115" s="28" t="s">
        <v>1029</v>
      </c>
      <c r="C115" s="12" t="s">
        <v>104</v>
      </c>
      <c r="D115" s="28" t="s">
        <v>1027</v>
      </c>
      <c r="E115" s="36" t="str">
        <f>HYPERLINK("https://youtu.be/U4nl3MKDt20?t=1148","channel 1")</f>
        <v>channel 1</v>
      </c>
    </row>
    <row r="116">
      <c r="B116" s="28" t="s">
        <v>534</v>
      </c>
      <c r="C116" s="12" t="s">
        <v>365</v>
      </c>
      <c r="D116" s="28" t="s">
        <v>1028</v>
      </c>
      <c r="E116" s="13" t="str">
        <f>HYPERLINK("https://youtu.be/PYcUYiHQHkg?t=389","channel 2")</f>
        <v>channel 2</v>
      </c>
    </row>
    <row r="117">
      <c r="B117" s="28" t="s">
        <v>1029</v>
      </c>
      <c r="C117" s="12" t="s">
        <v>24</v>
      </c>
      <c r="D117" s="28" t="s">
        <v>1008</v>
      </c>
      <c r="E117" s="36" t="str">
        <f>HYPERLINK("https://youtu.be/U4nl3MKDt20?t=2213","channel 1")</f>
        <v>channel 1</v>
      </c>
    </row>
    <row r="118">
      <c r="B118" s="28" t="s">
        <v>534</v>
      </c>
      <c r="C118" s="12" t="s">
        <v>44</v>
      </c>
      <c r="D118" s="28" t="s">
        <v>1027</v>
      </c>
      <c r="E118" s="13" t="str">
        <f>HYPERLINK("https://youtu.be/PYcUYiHQHkg?t=1483","channel 2")</f>
        <v>channel 2</v>
      </c>
    </row>
    <row r="119">
      <c r="B119" s="28" t="s">
        <v>1029</v>
      </c>
      <c r="C119" s="12" t="s">
        <v>38</v>
      </c>
      <c r="D119" s="28" t="s">
        <v>1028</v>
      </c>
      <c r="E119" s="36" t="str">
        <f>HYPERLINK("https://youtu.be/U4nl3MKDt20?t=3234","channel 1")</f>
        <v>channel 1</v>
      </c>
    </row>
    <row r="120">
      <c r="B120" s="28" t="s">
        <v>1008</v>
      </c>
      <c r="C120" s="12" t="s">
        <v>57</v>
      </c>
      <c r="D120" s="28" t="s">
        <v>1027</v>
      </c>
      <c r="E120" s="13" t="str">
        <f>HYPERLINK("https://youtu.be/PYcUYiHQHkg?t=2601","channel 2")</f>
        <v>channel 2</v>
      </c>
    </row>
    <row r="121">
      <c r="B121" s="28" t="s">
        <v>1029</v>
      </c>
      <c r="C121" s="12" t="s">
        <v>104</v>
      </c>
      <c r="D121" s="28" t="s">
        <v>534</v>
      </c>
      <c r="E121" s="36" t="str">
        <f>HYPERLINK("https://youtu.be/U4nl3MKDt20?t=4260","channel 1")</f>
        <v>channel 1</v>
      </c>
    </row>
    <row r="122">
      <c r="B122" s="28" t="s">
        <v>1008</v>
      </c>
      <c r="C122" s="12" t="s">
        <v>47</v>
      </c>
      <c r="D122" s="28" t="s">
        <v>1028</v>
      </c>
      <c r="E122" s="13" t="str">
        <f>HYPERLINK("https://youtu.be/PYcUYiHQHkg?t=3621","channel 2")</f>
        <v>channel 2</v>
      </c>
    </row>
    <row r="123">
      <c r="B123" s="28" t="s">
        <v>1028</v>
      </c>
      <c r="C123" s="12" t="s">
        <v>49</v>
      </c>
      <c r="D123" s="28" t="s">
        <v>1027</v>
      </c>
      <c r="E123" s="36" t="str">
        <f>HYPERLINK("https://youtu.be/U4nl3MKDt20?t=5211","channel 1")</f>
        <v>channel 1</v>
      </c>
    </row>
    <row r="124">
      <c r="B124" s="28" t="s">
        <v>1008</v>
      </c>
      <c r="C124" s="12" t="s">
        <v>505</v>
      </c>
      <c r="D124" s="28" t="s">
        <v>534</v>
      </c>
      <c r="E124" s="13" t="str">
        <f>HYPERLINK("https://youtu.be/PYcUYiHQHkg?t=4559","channel 2")</f>
        <v>channel 2</v>
      </c>
    </row>
    <row r="125">
      <c r="B125" s="28" t="s">
        <v>1027</v>
      </c>
      <c r="C125" s="12" t="s">
        <v>10</v>
      </c>
      <c r="D125" s="28" t="s">
        <v>1029</v>
      </c>
      <c r="E125" s="36" t="str">
        <f>HYPERLINK("https://youtu.be/U4nl3MKDt20?t=6209","channel 1")</f>
        <v>channel 1</v>
      </c>
    </row>
    <row r="126">
      <c r="B126" s="28" t="s">
        <v>1028</v>
      </c>
      <c r="C126" s="12" t="s">
        <v>318</v>
      </c>
      <c r="D126" s="28" t="s">
        <v>534</v>
      </c>
      <c r="E126" s="13" t="str">
        <f>HYPERLINK("https://youtu.be/PYcUYiHQHkg?t=5509","channel 2")</f>
        <v>channel 2</v>
      </c>
    </row>
    <row r="127">
      <c r="B127" s="28" t="s">
        <v>1008</v>
      </c>
      <c r="C127" s="12" t="s">
        <v>322</v>
      </c>
      <c r="D127" s="28" t="s">
        <v>1029</v>
      </c>
      <c r="E127" s="36" t="str">
        <f>HYPERLINK("https://youtu.be/U4nl3MKDt20?t=7256","channel 1")</f>
        <v>channel 1</v>
      </c>
    </row>
    <row r="128">
      <c r="B128" s="28" t="s">
        <v>1027</v>
      </c>
      <c r="C128" s="12" t="s">
        <v>992</v>
      </c>
      <c r="D128" s="28" t="s">
        <v>534</v>
      </c>
      <c r="E128" s="13" t="str">
        <f>HYPERLINK("https://youtu.be/PYcUYiHQHkg?t=6500","channel 2")</f>
        <v>channel 2</v>
      </c>
    </row>
    <row r="129">
      <c r="B129" s="28" t="s">
        <v>1028</v>
      </c>
      <c r="C129" s="12" t="s">
        <v>436</v>
      </c>
      <c r="D129" s="28" t="s">
        <v>1029</v>
      </c>
      <c r="E129" s="36" t="str">
        <f>HYPERLINK("https://youtu.be/U4nl3MKDt20?t=8231","channel 1")</f>
        <v>channel 1</v>
      </c>
    </row>
    <row r="130">
      <c r="B130" s="28" t="s">
        <v>1027</v>
      </c>
      <c r="C130" s="12" t="s">
        <v>571</v>
      </c>
      <c r="D130" s="28" t="s">
        <v>1008</v>
      </c>
      <c r="E130" s="13" t="str">
        <f>HYPERLINK("https://youtu.be/PYcUYiHQHkg?t=7479","channel 2")</f>
        <v>channel 2</v>
      </c>
    </row>
    <row r="131">
      <c r="B131" s="28" t="s">
        <v>534</v>
      </c>
      <c r="C131" s="12" t="s">
        <v>47</v>
      </c>
      <c r="D131" s="28" t="s">
        <v>1029</v>
      </c>
      <c r="E131" s="36" t="str">
        <f>HYPERLINK("https://youtu.be/U4nl3MKDt20?t=9192","channel 1")</f>
        <v>channel 1</v>
      </c>
    </row>
    <row r="132">
      <c r="B132" s="28" t="s">
        <v>1028</v>
      </c>
      <c r="C132" s="12" t="s">
        <v>309</v>
      </c>
      <c r="D132" s="28" t="s">
        <v>1008</v>
      </c>
      <c r="E132" s="13" t="str">
        <f>HYPERLINK("https://youtu.be/PYcUYiHQHkg?t=8504","channel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299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1030</v>
      </c>
      <c r="C3" s="12" t="s">
        <v>418</v>
      </c>
      <c r="D3" s="28" t="s">
        <v>869</v>
      </c>
      <c r="E3" s="36" t="str">
        <f>HYPERLINK("https://youtu.be/s7LAQRtQ8II","channel 1")</f>
        <v>channel 1</v>
      </c>
    </row>
    <row r="4">
      <c r="A4" s="7"/>
      <c r="B4" s="28" t="s">
        <v>1031</v>
      </c>
      <c r="C4" s="12" t="s">
        <v>210</v>
      </c>
      <c r="D4" s="28" t="s">
        <v>1032</v>
      </c>
      <c r="E4" s="13" t="str">
        <f>HYPERLINK("https://www.youtube.com/watch?v=RpnpO4-ELAQ","channel 2")</f>
        <v>channel 2</v>
      </c>
    </row>
    <row r="5">
      <c r="A5" s="7"/>
      <c r="B5" s="28" t="s">
        <v>1033</v>
      </c>
      <c r="C5" s="12" t="s">
        <v>124</v>
      </c>
      <c r="D5" s="28" t="s">
        <v>1030</v>
      </c>
      <c r="E5" s="36" t="str">
        <f>HYPERLINK("https://youtu.be/O7nvA-CSpnc","channel 1")</f>
        <v>channel 1</v>
      </c>
    </row>
    <row r="6">
      <c r="A6" s="7"/>
      <c r="B6" s="28" t="s">
        <v>1031</v>
      </c>
      <c r="C6" s="12" t="s">
        <v>43</v>
      </c>
      <c r="D6" s="28" t="s">
        <v>869</v>
      </c>
      <c r="E6" s="13" t="str">
        <f>HYPERLINK("https://www.youtube.com/watch?v=g3VeAWmJaSg","channel 2")</f>
        <v>channel 2</v>
      </c>
    </row>
    <row r="7">
      <c r="A7" s="7"/>
      <c r="B7" s="28" t="s">
        <v>1033</v>
      </c>
      <c r="C7" s="12" t="s">
        <v>212</v>
      </c>
      <c r="D7" s="28" t="s">
        <v>1032</v>
      </c>
      <c r="E7" s="36" t="str">
        <f>HYPERLINK("https://youtu.be/4uATkH9BBhQ","channel 1")</f>
        <v>channel 1</v>
      </c>
    </row>
    <row r="8">
      <c r="A8" s="7"/>
      <c r="B8" s="28" t="s">
        <v>1031</v>
      </c>
      <c r="C8" s="12" t="s">
        <v>111</v>
      </c>
      <c r="D8" s="28" t="s">
        <v>1030</v>
      </c>
      <c r="E8" s="13" t="str">
        <f>HYPERLINK("https://www.youtube.com/watch?v=Sas_dr7wFaw","channel 2")</f>
        <v>channel 2</v>
      </c>
    </row>
    <row r="9">
      <c r="A9" s="7"/>
      <c r="B9" s="28" t="s">
        <v>1033</v>
      </c>
      <c r="C9" s="12" t="s">
        <v>160</v>
      </c>
      <c r="D9" s="28" t="s">
        <v>869</v>
      </c>
      <c r="E9" s="36" t="str">
        <f>HYPERLINK("https://youtu.be/zOApIpHBm8M","channel 1")</f>
        <v>channel 1</v>
      </c>
    </row>
    <row r="10">
      <c r="A10" s="7"/>
      <c r="B10" s="28" t="s">
        <v>1032</v>
      </c>
      <c r="C10" s="12" t="s">
        <v>24</v>
      </c>
      <c r="D10" s="28" t="s">
        <v>1030</v>
      </c>
      <c r="E10" s="13" t="str">
        <f>HYPERLINK("https://www.youtube.com/watch?v=pQpHyiHPgD4","channel 2")</f>
        <v>channel 2</v>
      </c>
    </row>
    <row r="11">
      <c r="A11" s="7"/>
      <c r="B11" s="28" t="s">
        <v>1033</v>
      </c>
      <c r="C11" s="12" t="s">
        <v>148</v>
      </c>
      <c r="D11" s="28" t="s">
        <v>1031</v>
      </c>
      <c r="E11" s="36" t="str">
        <f>HYPERLINK("https://youtu.be/rz6RbXJbzBI","channel 1")</f>
        <v>channel 1</v>
      </c>
    </row>
    <row r="12">
      <c r="A12" s="7"/>
      <c r="B12" s="28" t="s">
        <v>1032</v>
      </c>
      <c r="C12" s="12" t="s">
        <v>157</v>
      </c>
      <c r="D12" s="28" t="s">
        <v>869</v>
      </c>
      <c r="E12" s="13" t="str">
        <f>HYPERLINK("https://www.youtube.com/watch?v=5sWpeG8zlyg","channel 2")</f>
        <v>channel 2</v>
      </c>
    </row>
    <row r="13">
      <c r="A13" s="7"/>
      <c r="B13" s="28" t="s">
        <v>869</v>
      </c>
      <c r="C13" s="12" t="s">
        <v>210</v>
      </c>
      <c r="D13" s="28" t="s">
        <v>1030</v>
      </c>
      <c r="E13" s="36" t="str">
        <f>HYPERLINK("https://youtu.be/oHUVfGVA3kM","channel 1")</f>
        <v>channel 1</v>
      </c>
    </row>
    <row r="14">
      <c r="A14" s="7"/>
      <c r="B14" s="28" t="s">
        <v>1032</v>
      </c>
      <c r="C14" s="12" t="s">
        <v>59</v>
      </c>
      <c r="D14" s="28" t="s">
        <v>1031</v>
      </c>
      <c r="E14" s="13" t="str">
        <f>HYPERLINK("https://www.youtube.com/watch?v=86G7rEMz-UM","channel 2")</f>
        <v>channel 2</v>
      </c>
    </row>
    <row r="15">
      <c r="A15" s="7"/>
      <c r="B15" s="28" t="s">
        <v>1030</v>
      </c>
      <c r="C15" s="12" t="s">
        <v>89</v>
      </c>
      <c r="D15" s="28" t="s">
        <v>1033</v>
      </c>
      <c r="E15" s="36" t="str">
        <f>HYPERLINK("https://youtu.be/ynEG65cb0lA","channel 1")</f>
        <v>channel 1</v>
      </c>
    </row>
    <row r="16">
      <c r="A16" s="7"/>
      <c r="B16" s="28" t="s">
        <v>869</v>
      </c>
      <c r="C16" s="12" t="s">
        <v>99</v>
      </c>
      <c r="D16" s="28" t="s">
        <v>1031</v>
      </c>
      <c r="E16" s="13" t="str">
        <f>HYPERLINK("https://youtu.be/AqR7KX3W92c","channel 2")</f>
        <v>channel 2</v>
      </c>
    </row>
    <row r="17">
      <c r="A17" s="7"/>
      <c r="B17" s="28" t="s">
        <v>1032</v>
      </c>
      <c r="C17" s="12" t="s">
        <v>49</v>
      </c>
      <c r="D17" s="28" t="s">
        <v>1033</v>
      </c>
      <c r="E17" s="36" t="str">
        <f>HYPERLINK("https://youtu.be/Usv5vI2R3tA","channel 1")</f>
        <v>channel 1</v>
      </c>
    </row>
    <row r="18">
      <c r="A18" s="7"/>
      <c r="B18" s="28" t="s">
        <v>1030</v>
      </c>
      <c r="C18" s="12" t="s">
        <v>108</v>
      </c>
      <c r="D18" s="28" t="s">
        <v>1031</v>
      </c>
      <c r="E18" s="13" t="str">
        <f>HYPERLINK("https://youtu.be/Br9gqNXDcjg","channel 2")</f>
        <v>channel 2</v>
      </c>
    </row>
    <row r="19">
      <c r="A19" s="7"/>
      <c r="B19" s="28" t="s">
        <v>869</v>
      </c>
      <c r="C19" s="12" t="s">
        <v>142</v>
      </c>
      <c r="D19" s="28" t="s">
        <v>1033</v>
      </c>
      <c r="E19" s="36" t="str">
        <f>HYPERLINK("https://youtu.be/C4qUdr6eRrU","channel 1")</f>
        <v>channel 1</v>
      </c>
    </row>
    <row r="20">
      <c r="A20" s="7"/>
      <c r="B20" s="28" t="s">
        <v>1030</v>
      </c>
      <c r="C20" s="12" t="s">
        <v>108</v>
      </c>
      <c r="D20" s="28" t="s">
        <v>1032</v>
      </c>
      <c r="E20" s="13" t="str">
        <f>HYPERLINK("https://youtu.be/3umzBBFqJ2E","channel 2")</f>
        <v>channel 2</v>
      </c>
    </row>
    <row r="21">
      <c r="A21" s="7"/>
      <c r="B21" s="28" t="s">
        <v>1031</v>
      </c>
      <c r="C21" s="12" t="s">
        <v>24</v>
      </c>
      <c r="D21" s="28" t="s">
        <v>1033</v>
      </c>
      <c r="E21" s="36" t="str">
        <f>HYPERLINK("https://youtu.be/gmVJHPk1qA0","channel 1")</f>
        <v>channel 1</v>
      </c>
    </row>
    <row r="22">
      <c r="A22" s="7"/>
      <c r="B22" s="28" t="s">
        <v>869</v>
      </c>
      <c r="C22" s="12" t="s">
        <v>570</v>
      </c>
      <c r="D22" s="28" t="s">
        <v>1032</v>
      </c>
      <c r="E22" s="13" t="str">
        <f>HYPERLINK("https://youtu.be/5Kef6ebRxDw","channel 2")</f>
        <v>channel 2</v>
      </c>
    </row>
    <row r="23">
      <c r="A23" s="7"/>
      <c r="B23" s="2" t="s">
        <v>776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781</v>
      </c>
      <c r="C25" s="12" t="s">
        <v>608</v>
      </c>
      <c r="D25" s="28" t="s">
        <v>1034</v>
      </c>
      <c r="E25" s="36" t="str">
        <f>HYPERLINK("https://youtu.be/5JNya7NnrhI","channel 1")</f>
        <v>channel 1</v>
      </c>
    </row>
    <row r="26">
      <c r="A26" s="7"/>
      <c r="B26" s="28" t="s">
        <v>1035</v>
      </c>
      <c r="C26" s="12" t="s">
        <v>375</v>
      </c>
      <c r="D26" s="28" t="s">
        <v>783</v>
      </c>
      <c r="E26" s="13" t="str">
        <f>HYPERLINK("https://youtu.be/YE1SNUCUgJY","channel 2")</f>
        <v>channel 2</v>
      </c>
    </row>
    <row r="27">
      <c r="A27" s="7"/>
      <c r="B27" s="28" t="s">
        <v>443</v>
      </c>
      <c r="C27" s="12" t="s">
        <v>145</v>
      </c>
      <c r="D27" s="28" t="s">
        <v>781</v>
      </c>
      <c r="E27" s="36" t="str">
        <f>HYPERLINK("https://youtu.be/5JNya7NnrhI?t=1001","channel 1")</f>
        <v>channel 1</v>
      </c>
    </row>
    <row r="28">
      <c r="A28" s="7"/>
      <c r="B28" s="28" t="s">
        <v>1035</v>
      </c>
      <c r="C28" s="12" t="s">
        <v>943</v>
      </c>
      <c r="D28" s="28" t="s">
        <v>1034</v>
      </c>
      <c r="E28" s="13" t="str">
        <f>HYPERLINK("https://youtu.be/YE1SNUCUgJY?t=1027","channel 2")</f>
        <v>channel 2</v>
      </c>
    </row>
    <row r="29">
      <c r="A29" s="7"/>
      <c r="B29" s="28" t="s">
        <v>443</v>
      </c>
      <c r="C29" s="12" t="s">
        <v>97</v>
      </c>
      <c r="D29" s="28" t="s">
        <v>783</v>
      </c>
      <c r="E29" s="36" t="str">
        <f>HYPERLINK("https://youtu.be/5JNya7NnrhI?t=1932","channel 1")</f>
        <v>channel 1</v>
      </c>
    </row>
    <row r="30">
      <c r="A30" s="7"/>
      <c r="B30" s="28" t="s">
        <v>1035</v>
      </c>
      <c r="C30" s="12" t="s">
        <v>24</v>
      </c>
      <c r="D30" s="28" t="s">
        <v>781</v>
      </c>
      <c r="E30" s="13" t="str">
        <f>HYPERLINK("https://youtu.be/YE1SNUCUgJY?t=1929","channel 2")</f>
        <v>channel 2</v>
      </c>
    </row>
    <row r="31">
      <c r="A31" s="7"/>
      <c r="B31" s="28" t="s">
        <v>443</v>
      </c>
      <c r="C31" s="12" t="s">
        <v>148</v>
      </c>
      <c r="D31" s="28" t="s">
        <v>1034</v>
      </c>
      <c r="E31" s="36" t="str">
        <f>HYPERLINK("https://youtu.be/5JNya7NnrhI?t=2865","channel 1")</f>
        <v>channel 1</v>
      </c>
    </row>
    <row r="32">
      <c r="A32" s="7"/>
      <c r="B32" s="28" t="s">
        <v>783</v>
      </c>
      <c r="C32" s="12" t="s">
        <v>10</v>
      </c>
      <c r="D32" s="28" t="s">
        <v>781</v>
      </c>
      <c r="E32" s="13" t="str">
        <f>HYPERLINK("https://youtu.be/YE1SNUCUgJY?t=2873","channel 2")</f>
        <v>channel 2</v>
      </c>
    </row>
    <row r="33">
      <c r="A33" s="7"/>
      <c r="B33" s="28" t="s">
        <v>443</v>
      </c>
      <c r="C33" s="12" t="s">
        <v>30</v>
      </c>
      <c r="D33" s="28" t="s">
        <v>1035</v>
      </c>
      <c r="E33" s="36" t="str">
        <f>HYPERLINK("https://youtu.be/5JNya7NnrhI?t=3795","channel 1")</f>
        <v>channel 1</v>
      </c>
    </row>
    <row r="34">
      <c r="A34" s="7"/>
      <c r="B34" s="28" t="s">
        <v>783</v>
      </c>
      <c r="C34" s="12" t="s">
        <v>340</v>
      </c>
      <c r="D34" s="28" t="s">
        <v>1034</v>
      </c>
      <c r="E34" s="13" t="str">
        <f>HYPERLINK("https://youtu.be/YE1SNUCUgJY?t=3814","channel 2")</f>
        <v>channel 2</v>
      </c>
    </row>
    <row r="35">
      <c r="A35" s="7"/>
      <c r="B35" s="28" t="s">
        <v>1034</v>
      </c>
      <c r="C35" s="12" t="s">
        <v>365</v>
      </c>
      <c r="D35" s="28" t="s">
        <v>781</v>
      </c>
      <c r="E35" s="36" t="str">
        <f>HYPERLINK("https://youtu.be/5JNya7NnrhI?t=4733","channel 1")</f>
        <v>channel 1</v>
      </c>
    </row>
    <row r="36">
      <c r="A36" s="7"/>
      <c r="B36" s="28" t="s">
        <v>783</v>
      </c>
      <c r="C36" s="12" t="s">
        <v>11</v>
      </c>
      <c r="D36" s="28" t="s">
        <v>1035</v>
      </c>
      <c r="E36" s="13" t="str">
        <f>HYPERLINK("https://youtu.be/YE1SNUCUgJY?t=4762","channel 2")</f>
        <v>channel 2</v>
      </c>
    </row>
    <row r="37">
      <c r="A37" s="7"/>
      <c r="B37" s="28" t="s">
        <v>781</v>
      </c>
      <c r="C37" s="12" t="s">
        <v>46</v>
      </c>
      <c r="D37" s="28" t="s">
        <v>443</v>
      </c>
      <c r="E37" s="36" t="str">
        <f>HYPERLINK("https://youtu.be/5JNya7NnrhI?t=5703","channel 1")</f>
        <v>channel 1</v>
      </c>
    </row>
    <row r="38">
      <c r="A38" s="7"/>
      <c r="B38" s="28" t="s">
        <v>1034</v>
      </c>
      <c r="C38" s="12" t="s">
        <v>148</v>
      </c>
      <c r="D38" s="28" t="s">
        <v>1035</v>
      </c>
      <c r="E38" s="13" t="str">
        <f>HYPERLINK("https://youtu.be/YE1SNUCUgJY?t=5698","channel 2")</f>
        <v>channel 2</v>
      </c>
    </row>
    <row r="39">
      <c r="A39" s="7"/>
      <c r="B39" s="28" t="s">
        <v>783</v>
      </c>
      <c r="C39" s="18" t="s">
        <v>84</v>
      </c>
      <c r="D39" s="28" t="s">
        <v>443</v>
      </c>
      <c r="E39" s="36" t="str">
        <f>HYPERLINK("https://youtu.be/5JNya7NnrhI?t=6649","channel 1")</f>
        <v>channel 1</v>
      </c>
    </row>
    <row r="40">
      <c r="A40" s="7"/>
      <c r="B40" s="28" t="s">
        <v>781</v>
      </c>
      <c r="C40" s="12" t="s">
        <v>93</v>
      </c>
      <c r="D40" s="28" t="s">
        <v>1035</v>
      </c>
      <c r="E40" s="13" t="str">
        <f>HYPERLINK("https://youtu.be/YE1SNUCUgJY?t=6639","channel 2")</f>
        <v>channel 2</v>
      </c>
    </row>
    <row r="41">
      <c r="A41" s="7"/>
      <c r="B41" s="28" t="s">
        <v>1034</v>
      </c>
      <c r="C41" s="12" t="s">
        <v>210</v>
      </c>
      <c r="D41" s="28" t="s">
        <v>443</v>
      </c>
      <c r="E41" s="36" t="str">
        <f>HYPERLINK("https://youtu.be/5JNya7NnrhI?t=7580","channel 1")</f>
        <v>channel 1</v>
      </c>
    </row>
    <row r="42">
      <c r="A42" s="7"/>
      <c r="B42" s="28" t="s">
        <v>781</v>
      </c>
      <c r="C42" s="12" t="s">
        <v>46</v>
      </c>
      <c r="D42" s="28" t="s">
        <v>783</v>
      </c>
      <c r="E42" s="13" t="str">
        <f>HYPERLINK("https://youtu.be/YE1SNUCUgJY?t=7552","channel 2")</f>
        <v>channel 2</v>
      </c>
    </row>
    <row r="43">
      <c r="A43" s="7"/>
      <c r="B43" s="28" t="s">
        <v>1035</v>
      </c>
      <c r="C43" s="12" t="s">
        <v>471</v>
      </c>
      <c r="D43" s="28" t="s">
        <v>443</v>
      </c>
      <c r="E43" s="36" t="str">
        <f>HYPERLINK("https://youtu.be/5JNya7NnrhI?t=8478","channel 1")</f>
        <v>channel 1</v>
      </c>
    </row>
    <row r="44">
      <c r="A44" s="7"/>
      <c r="B44" s="28" t="s">
        <v>1034</v>
      </c>
      <c r="C44" s="12" t="s">
        <v>24</v>
      </c>
      <c r="D44" s="28" t="s">
        <v>783</v>
      </c>
      <c r="E44" s="13" t="str">
        <f>HYPERLINK("https://youtu.be/YE1SNUCUgJY?t=8514","channel 2")</f>
        <v>channel 2</v>
      </c>
    </row>
    <row r="45">
      <c r="A45" s="7"/>
      <c r="B45" s="2" t="s">
        <v>1003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1036</v>
      </c>
      <c r="C47" s="12" t="s">
        <v>104</v>
      </c>
      <c r="D47" s="28" t="s">
        <v>654</v>
      </c>
      <c r="E47" s="36" t="str">
        <f>HYPERLINK("https://youtu.be/FDBCxqloXHo","channel 1")</f>
        <v>channel 1</v>
      </c>
    </row>
    <row r="48">
      <c r="A48" s="7"/>
      <c r="B48" s="28" t="s">
        <v>1037</v>
      </c>
      <c r="C48" s="12" t="s">
        <v>47</v>
      </c>
      <c r="D48" s="28" t="s">
        <v>1038</v>
      </c>
      <c r="E48" s="13" t="str">
        <f>HYPERLINK("https://youtu.be/d1jHsS2-KmQ","channel 2")</f>
        <v>channel 2</v>
      </c>
    </row>
    <row r="49">
      <c r="A49" s="7"/>
      <c r="B49" s="28" t="s">
        <v>1039</v>
      </c>
      <c r="C49" s="12" t="s">
        <v>44</v>
      </c>
      <c r="D49" s="28" t="s">
        <v>1036</v>
      </c>
      <c r="E49" s="36" t="str">
        <f>HYPERLINK("https://youtu.be/FDBCxqloXHo?t=1083","channel 1")</f>
        <v>channel 1</v>
      </c>
    </row>
    <row r="50">
      <c r="A50" s="7"/>
      <c r="B50" s="28" t="s">
        <v>1037</v>
      </c>
      <c r="C50" s="12" t="s">
        <v>117</v>
      </c>
      <c r="D50" s="28" t="s">
        <v>654</v>
      </c>
      <c r="E50" s="13" t="str">
        <f>HYPERLINK("https://youtu.be/d1jHsS2-KmQ?t=1172","channel 2")</f>
        <v>channel 2</v>
      </c>
    </row>
    <row r="51">
      <c r="A51" s="7"/>
      <c r="B51" s="28" t="s">
        <v>1039</v>
      </c>
      <c r="C51" s="12" t="s">
        <v>226</v>
      </c>
      <c r="D51" s="28" t="s">
        <v>1038</v>
      </c>
      <c r="E51" s="36" t="str">
        <f>HYPERLINK("https://youtu.be/FDBCxqloXHo?t=2084","channel 1")</f>
        <v>channel 1</v>
      </c>
    </row>
    <row r="52">
      <c r="A52" s="7"/>
      <c r="B52" s="28" t="s">
        <v>1037</v>
      </c>
      <c r="C52" s="12" t="s">
        <v>99</v>
      </c>
      <c r="D52" s="28" t="s">
        <v>1036</v>
      </c>
      <c r="E52" s="13" t="str">
        <f>HYPERLINK("https://youtu.be/d1jHsS2-KmQ?t=2170","channel 2")</f>
        <v>channel 2</v>
      </c>
    </row>
    <row r="53">
      <c r="A53" s="7"/>
      <c r="B53" s="28" t="s">
        <v>1039</v>
      </c>
      <c r="C53" s="12" t="s">
        <v>30</v>
      </c>
      <c r="D53" s="28" t="s">
        <v>654</v>
      </c>
      <c r="E53" s="36" t="str">
        <f>HYPERLINK("https://youtu.be/FDBCxqloXHo?t=3042","channel 1")</f>
        <v>channel 1</v>
      </c>
    </row>
    <row r="54">
      <c r="A54" s="7"/>
      <c r="B54" s="28" t="s">
        <v>1038</v>
      </c>
      <c r="C54" s="12" t="s">
        <v>24</v>
      </c>
      <c r="D54" s="28" t="s">
        <v>1036</v>
      </c>
      <c r="E54" s="13" t="str">
        <f>HYPERLINK("https://youtu.be/d1jHsS2-KmQ?t=3130","channel 2")</f>
        <v>channel 2</v>
      </c>
    </row>
    <row r="55">
      <c r="A55" s="7"/>
      <c r="B55" s="28" t="s">
        <v>1039</v>
      </c>
      <c r="C55" s="12" t="s">
        <v>59</v>
      </c>
      <c r="D55" s="28" t="s">
        <v>1037</v>
      </c>
      <c r="E55" s="36" t="str">
        <f>HYPERLINK("https://youtu.be/FDBCxqloXHo?t=4010","channel 1")</f>
        <v>channel 1</v>
      </c>
    </row>
    <row r="56">
      <c r="A56" s="7"/>
      <c r="B56" s="28" t="s">
        <v>1038</v>
      </c>
      <c r="C56" s="12" t="s">
        <v>35</v>
      </c>
      <c r="D56" s="28" t="s">
        <v>654</v>
      </c>
      <c r="E56" s="13" t="str">
        <f>HYPERLINK("https://youtu.be/d1jHsS2-KmQ?t=4031","channel 2")</f>
        <v>channel 2</v>
      </c>
    </row>
    <row r="57">
      <c r="A57" s="7"/>
      <c r="B57" s="28" t="s">
        <v>654</v>
      </c>
      <c r="C57" s="12" t="s">
        <v>108</v>
      </c>
      <c r="D57" s="28" t="s">
        <v>1036</v>
      </c>
      <c r="E57" s="36" t="str">
        <f>HYPERLINK("https://youtu.be/FDBCxqloXHo?t=4968","channel 1")</f>
        <v>channel 1</v>
      </c>
    </row>
    <row r="58">
      <c r="A58" s="7"/>
      <c r="B58" s="28" t="s">
        <v>1038</v>
      </c>
      <c r="C58" s="12" t="s">
        <v>124</v>
      </c>
      <c r="D58" s="28" t="s">
        <v>1037</v>
      </c>
      <c r="E58" s="13" t="str">
        <f>HYPERLINK("https://youtu.be/d1jHsS2-KmQ?t=4976","channel 2")</f>
        <v>channel 2</v>
      </c>
    </row>
    <row r="59">
      <c r="A59" s="7"/>
      <c r="B59" s="28" t="s">
        <v>1036</v>
      </c>
      <c r="C59" s="12" t="s">
        <v>35</v>
      </c>
      <c r="D59" s="28" t="s">
        <v>1039</v>
      </c>
      <c r="E59" s="36" t="str">
        <f>HYPERLINK("https://youtu.be/FDBCxqloXHo?t=5983","channel 1")</f>
        <v>channel 1</v>
      </c>
    </row>
    <row r="60">
      <c r="A60" s="7"/>
      <c r="B60" s="28" t="s">
        <v>654</v>
      </c>
      <c r="C60" s="12" t="s">
        <v>337</v>
      </c>
      <c r="D60" s="28" t="s">
        <v>1037</v>
      </c>
      <c r="E60" s="13" t="str">
        <f>HYPERLINK("https://youtu.be/d1jHsS2-KmQ?t=6067","channel 2")</f>
        <v>channel 2</v>
      </c>
    </row>
    <row r="61">
      <c r="A61" s="7"/>
      <c r="B61" s="28" t="s">
        <v>1038</v>
      </c>
      <c r="C61" s="12" t="s">
        <v>49</v>
      </c>
      <c r="D61" s="28" t="s">
        <v>1039</v>
      </c>
      <c r="E61" s="36" t="str">
        <f>HYPERLINK("https://youtu.be/FDBCxqloXHo?t=6899","channel 1")</f>
        <v>channel 1</v>
      </c>
    </row>
    <row r="62">
      <c r="A62" s="7"/>
      <c r="B62" s="28" t="s">
        <v>1036</v>
      </c>
      <c r="C62" s="18" t="s">
        <v>180</v>
      </c>
      <c r="D62" s="28" t="s">
        <v>1037</v>
      </c>
      <c r="E62" s="13" t="str">
        <f>HYPERLINK("https://youtu.be/d1jHsS2-KmQ?t=6983","channel 2")</f>
        <v>channel 2</v>
      </c>
    </row>
    <row r="63">
      <c r="A63" s="7"/>
      <c r="B63" s="28" t="s">
        <v>654</v>
      </c>
      <c r="C63" s="12" t="s">
        <v>84</v>
      </c>
      <c r="D63" s="28" t="s">
        <v>1039</v>
      </c>
      <c r="E63" s="36" t="str">
        <f>HYPERLINK("https://youtu.be/FDBCxqloXHo?t=7812","channel 1")</f>
        <v>channel 1</v>
      </c>
    </row>
    <row r="64">
      <c r="A64" s="7"/>
      <c r="B64" s="28" t="s">
        <v>1036</v>
      </c>
      <c r="C64" s="12" t="s">
        <v>160</v>
      </c>
      <c r="D64" s="28" t="s">
        <v>1038</v>
      </c>
      <c r="E64" s="13" t="str">
        <f>HYPERLINK("https://youtu.be/d1jHsS2-KmQ?t=7990","channel 2")</f>
        <v>channel 2</v>
      </c>
    </row>
    <row r="65">
      <c r="A65" s="7"/>
      <c r="B65" s="28" t="s">
        <v>1037</v>
      </c>
      <c r="C65" s="12" t="s">
        <v>1040</v>
      </c>
      <c r="D65" s="28" t="s">
        <v>1039</v>
      </c>
      <c r="E65" s="36" t="str">
        <f>HYPERLINK("https://youtu.be/FDBCxqloXHo?t=8761","channel 1")</f>
        <v>channel 1</v>
      </c>
    </row>
    <row r="66">
      <c r="A66" s="7"/>
      <c r="B66" s="28" t="s">
        <v>654</v>
      </c>
      <c r="C66" s="12" t="s">
        <v>106</v>
      </c>
      <c r="D66" s="28" t="s">
        <v>1038</v>
      </c>
      <c r="E66" s="13" t="str">
        <f>HYPERLINK("https://youtu.be/d1jHsS2-KmQ?t=8864","channel 2")</f>
        <v>channel 2</v>
      </c>
    </row>
    <row r="67">
      <c r="A67" s="7"/>
      <c r="B67" s="2" t="s">
        <v>134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1041</v>
      </c>
      <c r="C69" s="12" t="s">
        <v>34</v>
      </c>
      <c r="D69" s="28" t="s">
        <v>1042</v>
      </c>
      <c r="E69" s="36" t="str">
        <f>HYPERLINK("https://youtu.be/8LYk_DHO-fs","channel 1")</f>
        <v>channel 1</v>
      </c>
    </row>
    <row r="70">
      <c r="A70" s="7"/>
      <c r="B70" s="28" t="s">
        <v>351</v>
      </c>
      <c r="C70" s="12" t="s">
        <v>34</v>
      </c>
      <c r="D70" s="28" t="s">
        <v>1043</v>
      </c>
      <c r="E70" s="13" t="str">
        <f>HYPERLINK("https://youtu.be/7SHPYyLpJBw","channel 2")</f>
        <v>channel 2</v>
      </c>
    </row>
    <row r="71">
      <c r="A71" s="7"/>
      <c r="B71" s="28" t="s">
        <v>1044</v>
      </c>
      <c r="C71" s="12" t="s">
        <v>418</v>
      </c>
      <c r="D71" s="28" t="s">
        <v>1041</v>
      </c>
      <c r="E71" s="36" t="str">
        <f>HYPERLINK("https://youtu.be/8LYk_DHO-fs?t=941","channel 1")</f>
        <v>channel 1</v>
      </c>
    </row>
    <row r="72">
      <c r="A72" s="7"/>
      <c r="B72" s="28" t="s">
        <v>351</v>
      </c>
      <c r="C72" s="12" t="s">
        <v>88</v>
      </c>
      <c r="D72" s="28" t="s">
        <v>1042</v>
      </c>
      <c r="E72" s="13" t="str">
        <f>HYPERLINK("https://youtu.be/7SHPYyLpJBw?t=927","channel 2")</f>
        <v>channel 2</v>
      </c>
    </row>
    <row r="73">
      <c r="A73" s="7"/>
      <c r="B73" s="28" t="s">
        <v>1044</v>
      </c>
      <c r="C73" s="12" t="s">
        <v>145</v>
      </c>
      <c r="D73" s="28" t="s">
        <v>1043</v>
      </c>
      <c r="E73" s="36" t="str">
        <f>HYPERLINK("https://youtu.be/8LYk_DHO-fs?t=1848","channel 1")</f>
        <v>channel 1</v>
      </c>
    </row>
    <row r="74">
      <c r="A74" s="7"/>
      <c r="B74" s="28" t="s">
        <v>351</v>
      </c>
      <c r="C74" s="12" t="s">
        <v>278</v>
      </c>
      <c r="D74" s="28" t="s">
        <v>1041</v>
      </c>
      <c r="E74" s="13" t="str">
        <f>HYPERLINK("https://youtu.be/7SHPYyLpJBw?t=1907","channel 2")</f>
        <v>channel 2</v>
      </c>
    </row>
    <row r="75">
      <c r="A75" s="7"/>
      <c r="B75" s="28" t="s">
        <v>1044</v>
      </c>
      <c r="C75" s="12" t="s">
        <v>46</v>
      </c>
      <c r="D75" s="28" t="s">
        <v>1042</v>
      </c>
      <c r="E75" s="36" t="str">
        <f>HYPERLINK("https://youtu.be/8LYk_DHO-fs?t=2830","channel 1")</f>
        <v>channel 1</v>
      </c>
    </row>
    <row r="76">
      <c r="A76" s="7"/>
      <c r="B76" s="28" t="s">
        <v>1043</v>
      </c>
      <c r="C76" s="12" t="s">
        <v>109</v>
      </c>
      <c r="D76" s="28" t="s">
        <v>1041</v>
      </c>
      <c r="E76" s="13" t="str">
        <f>HYPERLINK("https://youtu.be/7SHPYyLpJBw?t=2958","channel 2")</f>
        <v>channel 2</v>
      </c>
    </row>
    <row r="77">
      <c r="A77" s="7"/>
      <c r="B77" s="28" t="s">
        <v>1044</v>
      </c>
      <c r="C77" s="12" t="s">
        <v>268</v>
      </c>
      <c r="D77" s="28" t="s">
        <v>351</v>
      </c>
      <c r="E77" s="36" t="str">
        <f>HYPERLINK("https://youtu.be/8LYk_DHO-fs?t=3768","channel 1")</f>
        <v>channel 1</v>
      </c>
    </row>
    <row r="78">
      <c r="A78" s="7"/>
      <c r="B78" s="28" t="s">
        <v>1043</v>
      </c>
      <c r="C78" s="12" t="s">
        <v>47</v>
      </c>
      <c r="D78" s="28" t="s">
        <v>1042</v>
      </c>
      <c r="E78" s="13" t="str">
        <f>HYPERLINK("https://youtu.be/7SHPYyLpJBw?t=3859","channel 2")</f>
        <v>channel 2</v>
      </c>
    </row>
    <row r="79">
      <c r="A79" s="7"/>
      <c r="B79" s="28" t="s">
        <v>1042</v>
      </c>
      <c r="C79" s="12" t="s">
        <v>232</v>
      </c>
      <c r="D79" s="28" t="s">
        <v>1041</v>
      </c>
      <c r="E79" s="36" t="str">
        <f>HYPERLINK("https://youtu.be/8LYk_DHO-fs?t=4820","channel 1")</f>
        <v>channel 1</v>
      </c>
    </row>
    <row r="80">
      <c r="A80" s="7"/>
      <c r="B80" s="28" t="s">
        <v>1043</v>
      </c>
      <c r="C80" s="12" t="s">
        <v>124</v>
      </c>
      <c r="D80" s="28" t="s">
        <v>351</v>
      </c>
      <c r="E80" s="13" t="str">
        <f>HYPERLINK("https://youtu.be/7SHPYyLpJBw?t=4770","channel 2")</f>
        <v>channel 2</v>
      </c>
    </row>
    <row r="81">
      <c r="A81" s="7"/>
      <c r="B81" s="28" t="s">
        <v>1041</v>
      </c>
      <c r="C81" s="12" t="s">
        <v>61</v>
      </c>
      <c r="D81" s="28" t="s">
        <v>1044</v>
      </c>
      <c r="E81" s="36" t="str">
        <f>HYPERLINK("https://youtu.be/8LYk_DHO-fs?t=5720","channel 1")</f>
        <v>channel 1</v>
      </c>
    </row>
    <row r="82">
      <c r="A82" s="7"/>
      <c r="B82" s="28" t="s">
        <v>1042</v>
      </c>
      <c r="C82" s="12" t="s">
        <v>143</v>
      </c>
      <c r="D82" s="28" t="s">
        <v>351</v>
      </c>
      <c r="E82" s="13" t="str">
        <f>HYPERLINK("https://youtu.be/7SHPYyLpJBw?t=5727","channel 2")</f>
        <v>channel 2</v>
      </c>
    </row>
    <row r="83">
      <c r="A83" s="7"/>
      <c r="B83" s="28" t="s">
        <v>1043</v>
      </c>
      <c r="C83" s="12" t="s">
        <v>24</v>
      </c>
      <c r="D83" s="28" t="s">
        <v>1044</v>
      </c>
      <c r="E83" s="36" t="str">
        <f>HYPERLINK("https://youtu.be/8LYk_DHO-fs?t=6646","channel 1")</f>
        <v>channel 1</v>
      </c>
    </row>
    <row r="84">
      <c r="A84" s="7"/>
      <c r="B84" s="28" t="s">
        <v>1041</v>
      </c>
      <c r="C84" s="12" t="s">
        <v>213</v>
      </c>
      <c r="D84" s="28" t="s">
        <v>351</v>
      </c>
      <c r="E84" s="13" t="str">
        <f>HYPERLINK("https://youtu.be/7SHPYyLpJBw?t=6708","channel 2")</f>
        <v>channel 2</v>
      </c>
    </row>
    <row r="85">
      <c r="A85" s="7"/>
      <c r="B85" s="28" t="s">
        <v>1042</v>
      </c>
      <c r="C85" s="12" t="s">
        <v>47</v>
      </c>
      <c r="D85" s="28" t="s">
        <v>1044</v>
      </c>
      <c r="E85" s="36" t="str">
        <f>HYPERLINK("https://youtu.be/8LYk_DHO-fs?t=7505","channel 1")</f>
        <v>channel 1</v>
      </c>
    </row>
    <row r="86">
      <c r="A86" s="7"/>
      <c r="B86" s="28" t="s">
        <v>1041</v>
      </c>
      <c r="C86" s="12" t="s">
        <v>47</v>
      </c>
      <c r="D86" s="28" t="s">
        <v>1043</v>
      </c>
      <c r="E86" s="13" t="str">
        <f>HYPERLINK("https://youtu.be/7SHPYyLpJBw?t=7686","channel 2")</f>
        <v>channel 2</v>
      </c>
    </row>
    <row r="87">
      <c r="A87" s="7"/>
      <c r="B87" s="28" t="s">
        <v>351</v>
      </c>
      <c r="C87" s="12" t="s">
        <v>1046</v>
      </c>
      <c r="D87" s="28" t="s">
        <v>1044</v>
      </c>
      <c r="E87" s="36" t="str">
        <f>HYPERLINK("https://youtu.be/8LYk_DHO-fs?t=8404","channel 1")</f>
        <v>channel 1</v>
      </c>
    </row>
    <row r="88">
      <c r="A88" s="25"/>
      <c r="B88" s="28" t="s">
        <v>1042</v>
      </c>
      <c r="C88" s="12" t="s">
        <v>46</v>
      </c>
      <c r="D88" s="28" t="s">
        <v>1043</v>
      </c>
      <c r="E88" s="13" t="str">
        <f>HYPERLINK("https://youtu.be/7SHPYyLpJBw?t=8593","channel 2")</f>
        <v>channel 2</v>
      </c>
    </row>
    <row r="89">
      <c r="B89" s="2" t="s">
        <v>425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1047</v>
      </c>
      <c r="C91" s="12" t="s">
        <v>18</v>
      </c>
      <c r="D91" s="28" t="s">
        <v>1023</v>
      </c>
      <c r="E91" s="36" t="str">
        <f>HYPERLINK("https://youtu.be/c0s5EatGHIc","channel 1")</f>
        <v>channel 1</v>
      </c>
    </row>
    <row r="92">
      <c r="B92" s="28" t="s">
        <v>779</v>
      </c>
      <c r="C92" s="12" t="s">
        <v>85</v>
      </c>
      <c r="D92" s="28" t="s">
        <v>1048</v>
      </c>
      <c r="E92" s="13" t="str">
        <f>HYPERLINK("https://youtu.be/pe78QkrrK5o","channel 2")</f>
        <v>channel 2</v>
      </c>
    </row>
    <row r="93">
      <c r="B93" s="28" t="s">
        <v>1049</v>
      </c>
      <c r="C93" s="12" t="s">
        <v>61</v>
      </c>
      <c r="D93" s="28" t="s">
        <v>1047</v>
      </c>
      <c r="E93" s="36" t="str">
        <f>HYPERLINK("https://youtu.be/c0s5EatGHIc?t=928","channel 1")</f>
        <v>channel 1</v>
      </c>
    </row>
    <row r="94">
      <c r="B94" s="28" t="s">
        <v>779</v>
      </c>
      <c r="C94" s="12" t="s">
        <v>224</v>
      </c>
      <c r="D94" s="28" t="s">
        <v>1023</v>
      </c>
      <c r="E94" s="13" t="str">
        <f>HYPERLINK("https://youtu.be/pe78QkrrK5o?t=964","channel 2")</f>
        <v>channel 2</v>
      </c>
    </row>
    <row r="95">
      <c r="B95" s="28" t="s">
        <v>1049</v>
      </c>
      <c r="C95" s="12" t="s">
        <v>111</v>
      </c>
      <c r="D95" s="28" t="s">
        <v>1048</v>
      </c>
      <c r="E95" s="36" t="str">
        <f>HYPERLINK("https://youtu.be/c0s5EatGHIc","channel 1")</f>
        <v>channel 1</v>
      </c>
    </row>
    <row r="96">
      <c r="B96" s="28" t="s">
        <v>779</v>
      </c>
      <c r="C96" s="12" t="s">
        <v>311</v>
      </c>
      <c r="D96" s="28" t="s">
        <v>1047</v>
      </c>
      <c r="E96" s="13" t="str">
        <f>HYPERLINK("https://youtu.be/pe78QkrrK5o?t=1926","channel 2")</f>
        <v>channel 2</v>
      </c>
    </row>
    <row r="97">
      <c r="B97" s="28" t="s">
        <v>1049</v>
      </c>
      <c r="C97" s="12" t="s">
        <v>350</v>
      </c>
      <c r="D97" s="28" t="s">
        <v>1023</v>
      </c>
      <c r="E97" s="36" t="str">
        <f>HYPERLINK("https://youtu.be/c0s5EatGHIc","channel 1")</f>
        <v>channel 1</v>
      </c>
    </row>
    <row r="98">
      <c r="B98" s="28" t="s">
        <v>1048</v>
      </c>
      <c r="C98" s="12" t="s">
        <v>1052</v>
      </c>
      <c r="D98" s="28" t="s">
        <v>1047</v>
      </c>
      <c r="E98" s="13" t="str">
        <f>HYPERLINK("https://youtu.be/pe78QkrrK5o?t=2881","channel 2")</f>
        <v>channel 2</v>
      </c>
    </row>
    <row r="99">
      <c r="B99" s="28" t="s">
        <v>1049</v>
      </c>
      <c r="C99" s="12" t="s">
        <v>214</v>
      </c>
      <c r="D99" s="28" t="s">
        <v>779</v>
      </c>
      <c r="E99" s="36" t="str">
        <f>HYPERLINK("https://youtu.be/c0s5EatGHIc?t=3773","channel 1")</f>
        <v>channel 1</v>
      </c>
    </row>
    <row r="100">
      <c r="B100" s="28" t="s">
        <v>1048</v>
      </c>
      <c r="C100" s="12" t="s">
        <v>319</v>
      </c>
      <c r="D100" s="28" t="s">
        <v>1023</v>
      </c>
      <c r="E100" s="13" t="str">
        <f>HYPERLINK("https://youtu.be/pe78QkrrK5o?t=3840","channel 2")</f>
        <v>channel 2</v>
      </c>
    </row>
    <row r="101">
      <c r="B101" s="28" t="s">
        <v>1023</v>
      </c>
      <c r="C101" s="12" t="s">
        <v>1056</v>
      </c>
      <c r="D101" s="28" t="s">
        <v>1047</v>
      </c>
      <c r="E101" s="36" t="str">
        <f>HYPERLINK("https://youtu.be/c0s5EatGHIc?t=4761","channel 1")</f>
        <v>channel 1</v>
      </c>
    </row>
    <row r="102">
      <c r="B102" s="28" t="s">
        <v>1048</v>
      </c>
      <c r="C102" s="12" t="s">
        <v>477</v>
      </c>
      <c r="D102" s="28" t="s">
        <v>779</v>
      </c>
      <c r="E102" s="13" t="str">
        <f>HYPERLINK("https://youtu.be/pe78QkrrK5o?t=4787","channel 2")</f>
        <v>channel 2</v>
      </c>
    </row>
    <row r="103">
      <c r="B103" s="28" t="s">
        <v>1047</v>
      </c>
      <c r="C103" s="12" t="s">
        <v>61</v>
      </c>
      <c r="D103" s="28" t="s">
        <v>1049</v>
      </c>
      <c r="E103" s="36" t="str">
        <f>HYPERLINK("https://youtu.be/c0s5EatGHIc?t=5715","channel 1")</f>
        <v>channel 1</v>
      </c>
    </row>
    <row r="104">
      <c r="B104" s="28" t="s">
        <v>1023</v>
      </c>
      <c r="C104" s="12" t="s">
        <v>32</v>
      </c>
      <c r="D104" s="28" t="s">
        <v>779</v>
      </c>
      <c r="E104" s="13" t="str">
        <f>HYPERLINK("https://youtu.be/pe78QkrrK5o?t=5721","channel 2")</f>
        <v>channel 2</v>
      </c>
    </row>
    <row r="105">
      <c r="B105" s="28" t="s">
        <v>1048</v>
      </c>
      <c r="C105" s="12" t="s">
        <v>179</v>
      </c>
      <c r="D105" s="28" t="s">
        <v>1049</v>
      </c>
      <c r="E105" s="36" t="str">
        <f>HYPERLINK("https://youtu.be/c0s5EatGHIc?t=6701","channel 1")</f>
        <v>channel 1</v>
      </c>
    </row>
    <row r="106">
      <c r="B106" s="28" t="s">
        <v>1047</v>
      </c>
      <c r="C106" s="12" t="s">
        <v>145</v>
      </c>
      <c r="D106" s="28" t="s">
        <v>779</v>
      </c>
      <c r="E106" s="13" t="str">
        <f>HYPERLINK("https://youtu.be/pe78QkrrK5o?t=6740","channel 2")</f>
        <v>channel 2</v>
      </c>
    </row>
    <row r="107">
      <c r="B107" s="28" t="s">
        <v>1023</v>
      </c>
      <c r="C107" s="12" t="s">
        <v>102</v>
      </c>
      <c r="D107" s="28" t="s">
        <v>1049</v>
      </c>
      <c r="E107" s="36" t="str">
        <f>HYPERLINK("https://youtu.be/c0s5EatGHIc?t=7660","channel 1")</f>
        <v>channel 1</v>
      </c>
    </row>
    <row r="108">
      <c r="B108" s="28" t="s">
        <v>1047</v>
      </c>
      <c r="C108" s="12" t="s">
        <v>180</v>
      </c>
      <c r="D108" s="28" t="s">
        <v>1048</v>
      </c>
      <c r="E108" s="13" t="str">
        <f>HYPERLINK("https://youtu.be/pe78QkrrK5o?t=7718","channel 2")</f>
        <v>channel 2</v>
      </c>
    </row>
    <row r="109">
      <c r="B109" s="28" t="s">
        <v>779</v>
      </c>
      <c r="C109" s="12" t="s">
        <v>1057</v>
      </c>
      <c r="D109" s="28" t="s">
        <v>1049</v>
      </c>
      <c r="E109" s="36" t="str">
        <f>HYPERLINK("https://youtu.be/c0s5EatGHIc?t=8593","channel 1")</f>
        <v>channel 1</v>
      </c>
    </row>
    <row r="110">
      <c r="B110" s="28" t="s">
        <v>1023</v>
      </c>
      <c r="C110" s="12" t="s">
        <v>32</v>
      </c>
      <c r="D110" s="28" t="s">
        <v>1048</v>
      </c>
      <c r="E110" s="13" t="str">
        <f>HYPERLINK("https://youtu.be/pe78QkrrK5o?t=8649","channel 2")</f>
        <v>channel 2</v>
      </c>
    </row>
    <row r="111">
      <c r="B111" s="2" t="s">
        <v>1058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808</v>
      </c>
      <c r="C113" s="12" t="s">
        <v>132</v>
      </c>
      <c r="D113" s="28" t="s">
        <v>640</v>
      </c>
      <c r="E113" s="36" t="str">
        <f>HYPERLINK("https://youtu.be/5pqNkgi7HIA","channel 1")</f>
        <v>channel 1</v>
      </c>
    </row>
    <row r="114">
      <c r="B114" s="28" t="s">
        <v>1059</v>
      </c>
      <c r="C114" s="12" t="s">
        <v>84</v>
      </c>
      <c r="D114" s="28" t="s">
        <v>1060</v>
      </c>
      <c r="E114" s="13" t="str">
        <f>HYPERLINK("https://youtu.be/dSDS-4K5_FU","channel 2")</f>
        <v>channel 2</v>
      </c>
    </row>
    <row r="115">
      <c r="B115" s="28" t="s">
        <v>1061</v>
      </c>
      <c r="C115" s="12" t="s">
        <v>135</v>
      </c>
      <c r="D115" s="28" t="s">
        <v>808</v>
      </c>
      <c r="E115" s="36" t="str">
        <f>HYPERLINK("https://youtu.be/5pqNkgi7HIA?t=997","channel 1")</f>
        <v>channel 1</v>
      </c>
    </row>
    <row r="116">
      <c r="B116" s="28" t="s">
        <v>1059</v>
      </c>
      <c r="C116" s="12" t="s">
        <v>210</v>
      </c>
      <c r="D116" s="28" t="s">
        <v>640</v>
      </c>
      <c r="E116" s="13" t="str">
        <f>HYPERLINK("https://youtu.be/dSDS-4K5_FU?t=1079","channel 2")</f>
        <v>channel 2</v>
      </c>
    </row>
    <row r="117">
      <c r="B117" s="28" t="s">
        <v>1061</v>
      </c>
      <c r="C117" s="12" t="s">
        <v>37</v>
      </c>
      <c r="D117" s="28" t="s">
        <v>1060</v>
      </c>
      <c r="E117" s="36" t="str">
        <f>HYPERLINK("https://youtu.be/5pqNkgi7HIA?t=1979","channel 1")</f>
        <v>channel 1</v>
      </c>
    </row>
    <row r="118">
      <c r="B118" s="28" t="s">
        <v>1059</v>
      </c>
      <c r="C118" s="12" t="s">
        <v>1062</v>
      </c>
      <c r="D118" s="28" t="s">
        <v>808</v>
      </c>
      <c r="E118" s="13" t="str">
        <f>HYPERLINK("https://youtu.be/dSDS-4K5_FU?t=1992","channel 2")</f>
        <v>channel 2</v>
      </c>
    </row>
    <row r="119">
      <c r="B119" s="28" t="s">
        <v>1061</v>
      </c>
      <c r="C119" s="12" t="s">
        <v>1021</v>
      </c>
      <c r="D119" s="28" t="s">
        <v>640</v>
      </c>
      <c r="E119" s="36" t="str">
        <f>HYPERLINK("https://youtu.be/5pqNkgi7HIA?t=2918","channel 1")</f>
        <v>channel 1</v>
      </c>
    </row>
    <row r="120">
      <c r="B120" s="28" t="s">
        <v>1060</v>
      </c>
      <c r="C120" s="12" t="s">
        <v>188</v>
      </c>
      <c r="D120" s="28" t="s">
        <v>808</v>
      </c>
      <c r="E120" s="13" t="str">
        <f>HYPERLINK("https://youtu.be/dSDS-4K5_FU?t=2995","channel 2")</f>
        <v>channel 2</v>
      </c>
    </row>
    <row r="121">
      <c r="B121" s="28" t="s">
        <v>1061</v>
      </c>
      <c r="C121" s="12" t="s">
        <v>818</v>
      </c>
      <c r="D121" s="28" t="s">
        <v>1059</v>
      </c>
      <c r="E121" s="36" t="str">
        <f>HYPERLINK("https://youtu.be/5pqNkgi7HIA?t=3938","channel 1")</f>
        <v>channel 1</v>
      </c>
    </row>
    <row r="122">
      <c r="B122" s="28" t="s">
        <v>1060</v>
      </c>
      <c r="C122" s="12" t="s">
        <v>452</v>
      </c>
      <c r="D122" s="28" t="s">
        <v>640</v>
      </c>
      <c r="E122" s="13" t="str">
        <f>HYPERLINK("https://youtu.be/dSDS-4K5_FU?t=3913","channel 2")</f>
        <v>channel 2</v>
      </c>
    </row>
    <row r="123">
      <c r="B123" s="28" t="s">
        <v>640</v>
      </c>
      <c r="C123" s="12" t="s">
        <v>608</v>
      </c>
      <c r="D123" s="28" t="s">
        <v>808</v>
      </c>
      <c r="E123" s="36" t="str">
        <f>HYPERLINK("https://youtu.be/5pqNkgi7HIA?t=4979","channel 1")</f>
        <v>channel 1</v>
      </c>
    </row>
    <row r="124">
      <c r="B124" s="28" t="s">
        <v>1060</v>
      </c>
      <c r="C124" s="12" t="s">
        <v>272</v>
      </c>
      <c r="D124" s="28" t="s">
        <v>1059</v>
      </c>
      <c r="E124" s="13" t="str">
        <f>HYPERLINK("https://youtu.be/dSDS-4K5_FU?t=4905","channel 2")</f>
        <v>channel 2</v>
      </c>
    </row>
    <row r="125">
      <c r="B125" s="28" t="s">
        <v>808</v>
      </c>
      <c r="C125" s="12" t="s">
        <v>1067</v>
      </c>
      <c r="D125" s="28" t="s">
        <v>1061</v>
      </c>
      <c r="E125" s="36" t="str">
        <f>HYPERLINK("https://youtu.be/5pqNkgi7HIA?t=5916","channel 1")</f>
        <v>channel 1</v>
      </c>
    </row>
    <row r="126">
      <c r="B126" s="28" t="s">
        <v>640</v>
      </c>
      <c r="C126" s="12" t="s">
        <v>213</v>
      </c>
      <c r="D126" s="28" t="s">
        <v>1059</v>
      </c>
      <c r="E126" s="13" t="str">
        <f>HYPERLINK("https://youtu.be/dSDS-4K5_FU?t=5870","channel 2")</f>
        <v>channel 2</v>
      </c>
    </row>
    <row r="127">
      <c r="B127" s="28" t="s">
        <v>1060</v>
      </c>
      <c r="C127" s="12" t="s">
        <v>77</v>
      </c>
      <c r="D127" s="28" t="s">
        <v>1061</v>
      </c>
      <c r="E127" s="36" t="str">
        <f>HYPERLINK("https://youtu.be/5pqNkgi7HIA?t=6949","channel 1")</f>
        <v>channel 1</v>
      </c>
    </row>
    <row r="128">
      <c r="B128" s="28" t="s">
        <v>808</v>
      </c>
      <c r="C128" s="12" t="s">
        <v>180</v>
      </c>
      <c r="D128" s="28" t="s">
        <v>1059</v>
      </c>
      <c r="E128" s="13" t="str">
        <f>HYPERLINK("https://youtu.be/dSDS-4K5_FU?t=6846","channel 2")</f>
        <v>channel 2</v>
      </c>
    </row>
    <row r="129">
      <c r="B129" s="28" t="s">
        <v>640</v>
      </c>
      <c r="C129" s="12" t="s">
        <v>343</v>
      </c>
      <c r="D129" s="28" t="s">
        <v>1061</v>
      </c>
      <c r="E129" s="36" t="str">
        <f>HYPERLINK("https://youtu.be/5pqNkgi7HIA?t=7850","channel 1")</f>
        <v>channel 1</v>
      </c>
    </row>
    <row r="130">
      <c r="B130" s="28" t="s">
        <v>808</v>
      </c>
      <c r="C130" s="12" t="s">
        <v>365</v>
      </c>
      <c r="D130" s="28" t="s">
        <v>1060</v>
      </c>
      <c r="E130" s="13" t="str">
        <f>HYPERLINK("https://youtu.be/dSDS-4K5_FU?t=7810","channel 2")</f>
        <v>channel 2</v>
      </c>
    </row>
    <row r="131">
      <c r="B131" s="28" t="s">
        <v>1059</v>
      </c>
      <c r="C131" s="12" t="s">
        <v>69</v>
      </c>
      <c r="D131" s="28" t="s">
        <v>1061</v>
      </c>
      <c r="E131" s="36" t="str">
        <f>HYPERLINK("https://youtu.be/5pqNkgi7HIA?t=8808","channel 1")</f>
        <v>channel 1</v>
      </c>
    </row>
    <row r="132">
      <c r="B132" s="28" t="s">
        <v>640</v>
      </c>
      <c r="C132" s="12" t="s">
        <v>46</v>
      </c>
      <c r="D132" s="28" t="s">
        <v>1060</v>
      </c>
      <c r="E132" s="13" t="str">
        <f>HYPERLINK("https://youtu.be/dSDS-4K5_FU?t=8777","channel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299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118</v>
      </c>
      <c r="C3" s="12" t="s">
        <v>88</v>
      </c>
      <c r="D3" s="28" t="s">
        <v>768</v>
      </c>
      <c r="E3" s="36" t="str">
        <f>HYPERLINK("https://youtu.be/JXuaVunAl8o","channel 1")</f>
        <v>channel 1</v>
      </c>
    </row>
    <row r="4">
      <c r="A4" s="7"/>
      <c r="B4" s="28" t="s">
        <v>697</v>
      </c>
      <c r="C4" s="12" t="s">
        <v>109</v>
      </c>
      <c r="D4" s="28" t="s">
        <v>1045</v>
      </c>
      <c r="E4" s="13" t="str">
        <f>HYPERLINK("https://youtu.be/xH7GoS8GLUo","channel 2")</f>
        <v>channel 2</v>
      </c>
    </row>
    <row r="5">
      <c r="A5" s="7"/>
      <c r="B5" s="28" t="s">
        <v>769</v>
      </c>
      <c r="C5" s="12" t="s">
        <v>89</v>
      </c>
      <c r="D5" s="28" t="s">
        <v>118</v>
      </c>
      <c r="E5" s="36" t="str">
        <f>HYPERLINK("https://youtu.be/SjlUUbCfANM","channel 1")</f>
        <v>channel 1</v>
      </c>
    </row>
    <row r="6">
      <c r="A6" s="7"/>
      <c r="B6" s="28" t="s">
        <v>697</v>
      </c>
      <c r="C6" s="12" t="s">
        <v>10</v>
      </c>
      <c r="D6" s="28" t="s">
        <v>768</v>
      </c>
      <c r="E6" s="13" t="str">
        <f>HYPERLINK("https://youtu.be/smTo_JGLumg","channel 2")</f>
        <v>channel 2</v>
      </c>
    </row>
    <row r="7">
      <c r="A7" s="7"/>
      <c r="B7" s="28" t="s">
        <v>769</v>
      </c>
      <c r="C7" s="12" t="s">
        <v>59</v>
      </c>
      <c r="D7" s="28" t="s">
        <v>1045</v>
      </c>
      <c r="E7" s="36" t="str">
        <f>HYPERLINK("https://youtu.be/cmDrB_vgVSU","channel 1")</f>
        <v>channel 1</v>
      </c>
    </row>
    <row r="8">
      <c r="A8" s="7"/>
      <c r="B8" s="28" t="s">
        <v>697</v>
      </c>
      <c r="C8" s="12" t="s">
        <v>308</v>
      </c>
      <c r="D8" s="28" t="s">
        <v>118</v>
      </c>
      <c r="E8" s="13" t="str">
        <f>HYPERLINK("https://youtu.be/irdNt6RpZlM","channel 2")</f>
        <v>channel 2</v>
      </c>
    </row>
    <row r="9">
      <c r="A9" s="7"/>
      <c r="B9" s="28" t="s">
        <v>769</v>
      </c>
      <c r="C9" s="12" t="s">
        <v>47</v>
      </c>
      <c r="D9" s="28" t="s">
        <v>768</v>
      </c>
      <c r="E9" s="36" t="str">
        <f>HYPERLINK("https://youtu.be/sROlNQuKp-4","channel 1")</f>
        <v>channel 1</v>
      </c>
    </row>
    <row r="10">
      <c r="A10" s="7"/>
      <c r="B10" s="28" t="s">
        <v>1045</v>
      </c>
      <c r="C10" s="12" t="s">
        <v>59</v>
      </c>
      <c r="D10" s="28" t="s">
        <v>118</v>
      </c>
      <c r="E10" s="13" t="str">
        <f>HYPERLINK("https://youtu.be/RYwjsJc_oBk","channel 2")</f>
        <v>channel 2</v>
      </c>
    </row>
    <row r="11">
      <c r="A11" s="7"/>
      <c r="B11" s="28" t="s">
        <v>769</v>
      </c>
      <c r="C11" s="12" t="s">
        <v>160</v>
      </c>
      <c r="D11" s="28" t="s">
        <v>697</v>
      </c>
      <c r="E11" s="36" t="str">
        <f>HYPERLINK("https://youtu.be/gFmFP67r_2o","channel 1")</f>
        <v>channel 1</v>
      </c>
    </row>
    <row r="12">
      <c r="A12" s="7"/>
      <c r="B12" s="28" t="s">
        <v>1045</v>
      </c>
      <c r="C12" s="12" t="s">
        <v>180</v>
      </c>
      <c r="D12" s="28" t="s">
        <v>768</v>
      </c>
      <c r="E12" s="13" t="str">
        <f>HYPERLINK("https://youtu.be/5Hq5pzEfVGo","channel 2")</f>
        <v>channel 2</v>
      </c>
    </row>
    <row r="13">
      <c r="A13" s="7"/>
      <c r="B13" s="28" t="s">
        <v>768</v>
      </c>
      <c r="C13" s="12" t="s">
        <v>11</v>
      </c>
      <c r="D13" s="28" t="s">
        <v>118</v>
      </c>
      <c r="E13" s="36" t="str">
        <f>HYPERLINK("https://youtu.be/qp3KMQMabRc","channel 1")</f>
        <v>channel 1</v>
      </c>
    </row>
    <row r="14">
      <c r="A14" s="7"/>
      <c r="B14" s="28" t="s">
        <v>1045</v>
      </c>
      <c r="C14" s="12" t="s">
        <v>493</v>
      </c>
      <c r="D14" s="28" t="s">
        <v>697</v>
      </c>
      <c r="E14" s="13" t="str">
        <f>HYPERLINK("https://youtu.be/CZyZ1Avftkc","channel 2")</f>
        <v>channel 2</v>
      </c>
    </row>
    <row r="15">
      <c r="A15" s="7"/>
      <c r="B15" s="28" t="s">
        <v>118</v>
      </c>
      <c r="C15" s="12" t="s">
        <v>494</v>
      </c>
      <c r="D15" s="28" t="s">
        <v>769</v>
      </c>
      <c r="E15" s="36" t="str">
        <f>HYPERLINK("https://youtu.be/Dajq1YTcVmo","channel 1")</f>
        <v>channel 1</v>
      </c>
    </row>
    <row r="16">
      <c r="A16" s="7"/>
      <c r="B16" s="28" t="s">
        <v>768</v>
      </c>
      <c r="C16" s="12" t="s">
        <v>157</v>
      </c>
      <c r="D16" s="28" t="s">
        <v>697</v>
      </c>
      <c r="E16" s="13" t="str">
        <f>HYPERLINK("https://youtu.be/gvkaP2OlFnY","channel 2")</f>
        <v>channel 2</v>
      </c>
    </row>
    <row r="17">
      <c r="A17" s="7"/>
      <c r="B17" s="28" t="s">
        <v>1045</v>
      </c>
      <c r="C17" s="12" t="s">
        <v>570</v>
      </c>
      <c r="D17" s="28" t="s">
        <v>769</v>
      </c>
      <c r="E17" s="36" t="str">
        <f>HYPERLINK("https://youtu.be/93VfSuOFSVQ","channel 1")</f>
        <v>channel 1</v>
      </c>
    </row>
    <row r="18">
      <c r="A18" s="7"/>
      <c r="B18" s="28" t="s">
        <v>118</v>
      </c>
      <c r="C18" s="12" t="s">
        <v>117</v>
      </c>
      <c r="D18" s="28" t="s">
        <v>697</v>
      </c>
      <c r="E18" s="13" t="str">
        <f>HYPERLINK("https://youtu.be/_dUIBokuy9U","channel 2")</f>
        <v>channel 2</v>
      </c>
    </row>
    <row r="19">
      <c r="A19" s="7"/>
      <c r="B19" s="28" t="s">
        <v>768</v>
      </c>
      <c r="C19" s="12" t="s">
        <v>104</v>
      </c>
      <c r="D19" s="28" t="s">
        <v>769</v>
      </c>
      <c r="E19" s="36" t="str">
        <f>HYPERLINK("https://youtu.be/7dGaYycY__0","channel 1")</f>
        <v>channel 1</v>
      </c>
    </row>
    <row r="20">
      <c r="A20" s="7"/>
      <c r="B20" s="28" t="s">
        <v>118</v>
      </c>
      <c r="C20" s="12" t="s">
        <v>49</v>
      </c>
      <c r="D20" s="28" t="s">
        <v>1045</v>
      </c>
      <c r="E20" s="13" t="str">
        <f>HYPERLINK("https://youtu.be/P8y0XysRFsQ","channel 2")</f>
        <v>channel 2</v>
      </c>
    </row>
    <row r="21">
      <c r="A21" s="7"/>
      <c r="B21" s="28" t="s">
        <v>697</v>
      </c>
      <c r="C21" s="12" t="s">
        <v>24</v>
      </c>
      <c r="D21" s="28" t="s">
        <v>769</v>
      </c>
      <c r="E21" s="36" t="str">
        <f>HYPERLINK("https://youtu.be/XUcNE66aPpM","channel 1")</f>
        <v>channel 1</v>
      </c>
    </row>
    <row r="22">
      <c r="A22" s="7"/>
      <c r="B22" s="28" t="s">
        <v>768</v>
      </c>
      <c r="C22" s="12" t="s">
        <v>143</v>
      </c>
      <c r="D22" s="28" t="s">
        <v>1045</v>
      </c>
      <c r="E22" s="13" t="str">
        <f>HYPERLINK("https://youtu.be/9qn5N48aDMg","channel 2")</f>
        <v>channel 2</v>
      </c>
    </row>
    <row r="23">
      <c r="A23" s="7"/>
      <c r="B23" s="2" t="s">
        <v>41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1050</v>
      </c>
      <c r="C25" s="12" t="s">
        <v>47</v>
      </c>
      <c r="D25" s="28" t="s">
        <v>1051</v>
      </c>
      <c r="E25" s="36" t="str">
        <f>HYPERLINK("https://youtu.be/7cb3ylybZow","channel 1")</f>
        <v>channel 1</v>
      </c>
    </row>
    <row r="26">
      <c r="A26" s="7"/>
      <c r="B26" s="28" t="s">
        <v>1053</v>
      </c>
      <c r="C26" s="12" t="s">
        <v>278</v>
      </c>
      <c r="D26" s="28" t="s">
        <v>1054</v>
      </c>
      <c r="E26" s="13" t="str">
        <f>HYPERLINK("https://youtu.be/ztRiE4qtdpk","channel 2")</f>
        <v>channel 2</v>
      </c>
    </row>
    <row r="27">
      <c r="A27" s="7"/>
      <c r="B27" s="28" t="s">
        <v>1055</v>
      </c>
      <c r="C27" s="12" t="s">
        <v>36</v>
      </c>
      <c r="D27" s="28" t="s">
        <v>1050</v>
      </c>
      <c r="E27" s="36" t="str">
        <f>HYPERLINK("https://youtu.be/edtkc6SSlKY","channel 1")</f>
        <v>channel 1</v>
      </c>
    </row>
    <row r="28">
      <c r="A28" s="7"/>
      <c r="B28" s="28" t="s">
        <v>1053</v>
      </c>
      <c r="C28" s="12" t="s">
        <v>210</v>
      </c>
      <c r="D28" s="28" t="s">
        <v>1051</v>
      </c>
      <c r="E28" s="13" t="str">
        <f>HYPERLINK("https://youtu.be/Nujw2cOlbgY","channel 2")</f>
        <v>channel 2</v>
      </c>
    </row>
    <row r="29">
      <c r="A29" s="7"/>
      <c r="B29" s="28" t="s">
        <v>1055</v>
      </c>
      <c r="C29" s="12" t="s">
        <v>74</v>
      </c>
      <c r="D29" s="28" t="s">
        <v>1054</v>
      </c>
      <c r="E29" s="36" t="str">
        <f>HYPERLINK("https://youtu.be/aElK0G9MGNg","channel 1")</f>
        <v>channel 1</v>
      </c>
    </row>
    <row r="30">
      <c r="A30" s="7"/>
      <c r="B30" s="28" t="s">
        <v>1053</v>
      </c>
      <c r="C30" s="12" t="s">
        <v>36</v>
      </c>
      <c r="D30" s="28" t="s">
        <v>1050</v>
      </c>
      <c r="E30" s="13" t="str">
        <f>HYPERLINK("https://youtu.be/mXZLrsWFNR4","channel 2")</f>
        <v>channel 2</v>
      </c>
    </row>
    <row r="31">
      <c r="A31" s="7"/>
      <c r="B31" s="28" t="s">
        <v>1055</v>
      </c>
      <c r="C31" s="12" t="s">
        <v>138</v>
      </c>
      <c r="D31" s="28" t="s">
        <v>1051</v>
      </c>
      <c r="E31" s="36" t="str">
        <f>HYPERLINK("https://youtu.be/8KRwPDSyTBA","channel 1")</f>
        <v>channel 1</v>
      </c>
    </row>
    <row r="32">
      <c r="A32" s="7"/>
      <c r="B32" s="28" t="s">
        <v>1054</v>
      </c>
      <c r="C32" s="12" t="s">
        <v>37</v>
      </c>
      <c r="D32" s="28" t="s">
        <v>1050</v>
      </c>
      <c r="E32" s="13" t="str">
        <f>HYPERLINK("https://youtu.be/gTc6avxZ2-E","channel 2")</f>
        <v>channel 2</v>
      </c>
    </row>
    <row r="33">
      <c r="A33" s="7"/>
      <c r="B33" s="28" t="s">
        <v>1055</v>
      </c>
      <c r="C33" s="12" t="s">
        <v>77</v>
      </c>
      <c r="D33" s="28" t="s">
        <v>1053</v>
      </c>
      <c r="E33" s="36" t="str">
        <f>HYPERLINK("https://youtu.be/8gJtF50WTrs","channel 1")</f>
        <v>channel 1</v>
      </c>
    </row>
    <row r="34">
      <c r="A34" s="7"/>
      <c r="B34" s="28" t="s">
        <v>1054</v>
      </c>
      <c r="C34" s="12" t="s">
        <v>99</v>
      </c>
      <c r="D34" s="28" t="s">
        <v>1051</v>
      </c>
      <c r="E34" s="13" t="str">
        <f>HYPERLINK("https://youtu.be/_0mnPNfvBw8","channel 2")</f>
        <v>channel 2</v>
      </c>
    </row>
    <row r="35">
      <c r="A35" s="7"/>
      <c r="B35" s="28" t="s">
        <v>1051</v>
      </c>
      <c r="C35" s="12" t="s">
        <v>108</v>
      </c>
      <c r="D35" s="28" t="s">
        <v>1050</v>
      </c>
      <c r="E35" s="36" t="str">
        <f>HYPERLINK("https://youtu.be/V2XRIOzy2KY","channel 1")</f>
        <v>channel 1</v>
      </c>
    </row>
    <row r="36">
      <c r="A36" s="7"/>
      <c r="B36" s="28" t="s">
        <v>1054</v>
      </c>
      <c r="C36" s="12" t="s">
        <v>232</v>
      </c>
      <c r="D36" s="28" t="s">
        <v>1053</v>
      </c>
      <c r="E36" s="13" t="str">
        <f>HYPERLINK("https://youtu.be/yvMCiK69Auc","channel 2")</f>
        <v>channel 2</v>
      </c>
    </row>
    <row r="37">
      <c r="A37" s="7"/>
      <c r="B37" s="28" t="s">
        <v>1050</v>
      </c>
      <c r="C37" s="12" t="s">
        <v>319</v>
      </c>
      <c r="D37" s="28" t="s">
        <v>1055</v>
      </c>
      <c r="E37" s="36" t="str">
        <f>HYPERLINK("https://youtu.be/WXSnD15T5fw","channel 1")</f>
        <v>channel 1</v>
      </c>
    </row>
    <row r="38">
      <c r="A38" s="7"/>
      <c r="B38" s="28" t="s">
        <v>1051</v>
      </c>
      <c r="C38" s="12" t="s">
        <v>328</v>
      </c>
      <c r="D38" s="28" t="s">
        <v>1053</v>
      </c>
      <c r="E38" s="13" t="str">
        <f>HYPERLINK("https://youtu.be/oql5u0m95o0","channel 2")</f>
        <v>channel 2</v>
      </c>
    </row>
    <row r="39">
      <c r="A39" s="7"/>
      <c r="B39" s="28" t="s">
        <v>1054</v>
      </c>
      <c r="C39" s="18" t="s">
        <v>124</v>
      </c>
      <c r="D39" s="28" t="s">
        <v>1055</v>
      </c>
      <c r="E39" s="36" t="str">
        <f>HYPERLINK("https://youtu.be/QjqULYdk6-M","channel 1")</f>
        <v>channel 1</v>
      </c>
    </row>
    <row r="40">
      <c r="A40" s="7"/>
      <c r="B40" s="28" t="s">
        <v>1050</v>
      </c>
      <c r="C40" s="12" t="s">
        <v>319</v>
      </c>
      <c r="D40" s="28" t="s">
        <v>1053</v>
      </c>
      <c r="E40" s="13" t="str">
        <f>HYPERLINK("https://youtu.be/iaAekN1Kv8Y","channel 2")</f>
        <v>channel 2</v>
      </c>
    </row>
    <row r="41">
      <c r="A41" s="7"/>
      <c r="B41" s="28" t="s">
        <v>1051</v>
      </c>
      <c r="C41" s="12" t="s">
        <v>30</v>
      </c>
      <c r="D41" s="28" t="s">
        <v>1055</v>
      </c>
      <c r="E41" s="36" t="str">
        <f>HYPERLINK("https://youtu.be/nlFj_gnI40Y","channel 1")</f>
        <v>channel 1</v>
      </c>
    </row>
    <row r="42">
      <c r="A42" s="7"/>
      <c r="B42" s="28" t="s">
        <v>1050</v>
      </c>
      <c r="C42" s="12" t="s">
        <v>232</v>
      </c>
      <c r="D42" s="28" t="s">
        <v>1054</v>
      </c>
      <c r="E42" s="13" t="str">
        <f>HYPERLINK("https://youtu.be/GVRbHe4s2Zk","channel 2")</f>
        <v>channel 2</v>
      </c>
    </row>
    <row r="43">
      <c r="A43" s="7"/>
      <c r="B43" s="28" t="s">
        <v>1053</v>
      </c>
      <c r="C43" s="12" t="s">
        <v>10</v>
      </c>
      <c r="D43" s="28" t="s">
        <v>1055</v>
      </c>
      <c r="E43" s="36" t="str">
        <f>HYPERLINK("https://youtu.be/i1ob1_SJda8","channel 1")</f>
        <v>channel 1</v>
      </c>
    </row>
    <row r="44">
      <c r="A44" s="7"/>
      <c r="B44" s="28" t="s">
        <v>1051</v>
      </c>
      <c r="C44" s="12" t="s">
        <v>213</v>
      </c>
      <c r="D44" s="28" t="s">
        <v>1054</v>
      </c>
      <c r="E44" s="13" t="str">
        <f>HYPERLINK("https://youtu.be/-nzlYB_vrNY","channel 2")</f>
        <v>channel 2</v>
      </c>
    </row>
    <row r="45">
      <c r="A45" s="7"/>
      <c r="B45" s="2" t="s">
        <v>1063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1064</v>
      </c>
      <c r="C47" s="12" t="s">
        <v>337</v>
      </c>
      <c r="D47" s="28" t="s">
        <v>978</v>
      </c>
      <c r="E47" s="36" t="str">
        <f>HYPERLINK("https://youtu.be/NmjM8TNNhVM","channel 1")</f>
        <v>channel 1</v>
      </c>
    </row>
    <row r="48">
      <c r="A48" s="7"/>
      <c r="B48" s="28" t="s">
        <v>65</v>
      </c>
      <c r="C48" s="12" t="s">
        <v>145</v>
      </c>
      <c r="D48" s="28" t="s">
        <v>797</v>
      </c>
      <c r="E48" s="13" t="str">
        <f>HYPERLINK("https://youtu.be/u-lZsKJHIMM","channel 2")</f>
        <v>channel 2</v>
      </c>
    </row>
    <row r="49">
      <c r="A49" s="7"/>
      <c r="B49" s="28" t="s">
        <v>1065</v>
      </c>
      <c r="C49" s="12" t="s">
        <v>144</v>
      </c>
      <c r="D49" s="28" t="s">
        <v>1064</v>
      </c>
      <c r="E49" s="36" t="str">
        <f>HYPERLINK("https://youtu.be/Ak4k5K5cQxo","channel 1")</f>
        <v>channel 1</v>
      </c>
    </row>
    <row r="50">
      <c r="A50" s="7"/>
      <c r="B50" s="28" t="s">
        <v>65</v>
      </c>
      <c r="C50" s="12" t="s">
        <v>46</v>
      </c>
      <c r="D50" s="28" t="s">
        <v>978</v>
      </c>
      <c r="E50" s="13" t="str">
        <f>HYPERLINK("https://youtu.be/DBGGU_VLg9Y","channel 2")</f>
        <v>channel 2</v>
      </c>
    </row>
    <row r="51">
      <c r="A51" s="7"/>
      <c r="B51" s="28" t="s">
        <v>1065</v>
      </c>
      <c r="C51" s="12" t="s">
        <v>46</v>
      </c>
      <c r="D51" s="28" t="s">
        <v>797</v>
      </c>
      <c r="E51" s="36" t="str">
        <f>HYPERLINK("https://youtu.be/Y03t_z6ouCY","channel 1")</f>
        <v>channel 1</v>
      </c>
    </row>
    <row r="52">
      <c r="A52" s="7"/>
      <c r="B52" s="28" t="s">
        <v>65</v>
      </c>
      <c r="C52" s="12" t="s">
        <v>10</v>
      </c>
      <c r="D52" s="28" t="s">
        <v>1064</v>
      </c>
      <c r="E52" s="13" t="str">
        <f>HYPERLINK("https://youtu.be/PtL4ZxJLhUY","channel 2")</f>
        <v>channel 2</v>
      </c>
    </row>
    <row r="53">
      <c r="A53" s="7"/>
      <c r="B53" s="28" t="s">
        <v>1065</v>
      </c>
      <c r="C53" s="12" t="s">
        <v>103</v>
      </c>
      <c r="D53" s="28" t="s">
        <v>978</v>
      </c>
      <c r="E53" s="36" t="str">
        <f>HYPERLINK("https://youtu.be/GFna5ublqzo","channel 1")</f>
        <v>channel 1</v>
      </c>
    </row>
    <row r="54">
      <c r="A54" s="7"/>
      <c r="B54" s="28" t="s">
        <v>797</v>
      </c>
      <c r="C54" s="12" t="s">
        <v>84</v>
      </c>
      <c r="D54" s="28" t="s">
        <v>1064</v>
      </c>
      <c r="E54" s="13" t="str">
        <f>HYPERLINK("https://youtu.be/GVnU1wGVDuc","channel 2")</f>
        <v>channel 2</v>
      </c>
    </row>
    <row r="55">
      <c r="A55" s="7"/>
      <c r="B55" s="28" t="s">
        <v>1065</v>
      </c>
      <c r="C55" s="12" t="s">
        <v>109</v>
      </c>
      <c r="D55" s="28" t="s">
        <v>65</v>
      </c>
      <c r="E55" s="36" t="str">
        <f>HYPERLINK("https://youtu.be/0QVXemoSxBw","channel 1")</f>
        <v>channel 1</v>
      </c>
    </row>
    <row r="56">
      <c r="A56" s="7"/>
      <c r="B56" s="28" t="s">
        <v>797</v>
      </c>
      <c r="C56" s="12" t="s">
        <v>37</v>
      </c>
      <c r="D56" s="28" t="s">
        <v>978</v>
      </c>
      <c r="E56" s="13" t="str">
        <f>HYPERLINK("https://youtu.be/tfQtS_dwIq0","channel 2")</f>
        <v>channel 2</v>
      </c>
    </row>
    <row r="57">
      <c r="A57" s="7"/>
      <c r="B57" s="28" t="s">
        <v>978</v>
      </c>
      <c r="C57" s="12" t="s">
        <v>111</v>
      </c>
      <c r="D57" s="28" t="s">
        <v>1064</v>
      </c>
      <c r="E57" s="36" t="str">
        <f>HYPERLINK("https://youtu.be/UrjoGL00_Qg","channel 1")</f>
        <v>channel 1</v>
      </c>
    </row>
    <row r="58">
      <c r="A58" s="7"/>
      <c r="B58" s="28" t="s">
        <v>797</v>
      </c>
      <c r="C58" s="12" t="s">
        <v>145</v>
      </c>
      <c r="D58" s="28" t="s">
        <v>65</v>
      </c>
      <c r="E58" s="13" t="str">
        <f>HYPERLINK("https://youtu.be/h0HaEdToyGE","channel 2")</f>
        <v>channel 2</v>
      </c>
    </row>
    <row r="59">
      <c r="A59" s="7"/>
      <c r="B59" s="28" t="s">
        <v>1064</v>
      </c>
      <c r="C59" s="12" t="s">
        <v>148</v>
      </c>
      <c r="D59" s="28" t="s">
        <v>1065</v>
      </c>
      <c r="E59" s="36" t="str">
        <f>HYPERLINK("https://youtu.be/n2J453aVHn4","channel 1")</f>
        <v>channel 1</v>
      </c>
    </row>
    <row r="60">
      <c r="A60" s="7"/>
      <c r="B60" s="28" t="s">
        <v>978</v>
      </c>
      <c r="C60" s="12" t="s">
        <v>887</v>
      </c>
      <c r="D60" s="28" t="s">
        <v>65</v>
      </c>
      <c r="E60" s="13" t="str">
        <f>HYPERLINK("https://youtu.be/zF7gfOMLDr4","channel 2")</f>
        <v>channel 2</v>
      </c>
    </row>
    <row r="61">
      <c r="A61" s="7"/>
      <c r="B61" s="28" t="s">
        <v>797</v>
      </c>
      <c r="C61" s="12" t="s">
        <v>97</v>
      </c>
      <c r="D61" s="28" t="s">
        <v>1065</v>
      </c>
      <c r="E61" s="36" t="str">
        <f>HYPERLINK("https://youtu.be/kwRzeY-z3fs","channel 1")</f>
        <v>channel 1</v>
      </c>
    </row>
    <row r="62">
      <c r="A62" s="7"/>
      <c r="B62" s="28" t="s">
        <v>1064</v>
      </c>
      <c r="C62" s="18" t="s">
        <v>106</v>
      </c>
      <c r="D62" s="28" t="s">
        <v>65</v>
      </c>
      <c r="E62" s="13" t="str">
        <f>HYPERLINK("https://youtu.be/sQuXq5vvCpM","channel 2")</f>
        <v>channel 2</v>
      </c>
    </row>
    <row r="63">
      <c r="A63" s="7"/>
      <c r="B63" s="28" t="s">
        <v>978</v>
      </c>
      <c r="C63" s="12" t="s">
        <v>10</v>
      </c>
      <c r="D63" s="28" t="s">
        <v>1065</v>
      </c>
      <c r="E63" s="36" t="str">
        <f>HYPERLINK("https://youtu.be/V9gMmtLLUQI","channel 1")</f>
        <v>channel 1</v>
      </c>
    </row>
    <row r="64">
      <c r="A64" s="7"/>
      <c r="B64" s="28" t="s">
        <v>1064</v>
      </c>
      <c r="C64" s="12" t="s">
        <v>157</v>
      </c>
      <c r="D64" s="28" t="s">
        <v>797</v>
      </c>
      <c r="E64" s="13" t="str">
        <f>HYPERLINK("https://youtu.be/FvBY2Ew4Ir0","channel 2")</f>
        <v>channel 2</v>
      </c>
    </row>
    <row r="65">
      <c r="A65" s="7"/>
      <c r="B65" s="28" t="s">
        <v>65</v>
      </c>
      <c r="C65" s="12" t="s">
        <v>384</v>
      </c>
      <c r="D65" s="28" t="s">
        <v>1065</v>
      </c>
      <c r="E65" s="36" t="str">
        <f>HYPERLINK("https://youtu.be/x1n_AabMKJc","channel 1")</f>
        <v>channel 1</v>
      </c>
    </row>
    <row r="66">
      <c r="A66" s="7"/>
      <c r="B66" s="28" t="s">
        <v>978</v>
      </c>
      <c r="C66" s="12" t="s">
        <v>157</v>
      </c>
      <c r="D66" s="28" t="s">
        <v>797</v>
      </c>
      <c r="E66" s="13" t="str">
        <f>HYPERLINK("https://youtu.be/Kf9gbjv8cj8","channel 2")</f>
        <v>channel 2</v>
      </c>
    </row>
    <row r="67">
      <c r="A67" s="7"/>
      <c r="B67" s="2" t="s">
        <v>386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1072</v>
      </c>
      <c r="C69" s="12" t="s">
        <v>436</v>
      </c>
      <c r="D69" s="28" t="s">
        <v>1073</v>
      </c>
      <c r="E69" s="36" t="str">
        <f>HYPERLINK("https://youtu.be/OFF4sWxFoss","channel 1")</f>
        <v>channel 1</v>
      </c>
    </row>
    <row r="70">
      <c r="A70" s="7"/>
      <c r="B70" s="28" t="s">
        <v>1075</v>
      </c>
      <c r="C70" s="12" t="s">
        <v>46</v>
      </c>
      <c r="D70" s="28" t="s">
        <v>1076</v>
      </c>
      <c r="E70" s="13" t="str">
        <f>HYPERLINK("https://youtu.be/EVZZN6JGPX0","channel 2")</f>
        <v>channel 2</v>
      </c>
    </row>
    <row r="71">
      <c r="A71" s="7"/>
      <c r="B71" s="28" t="s">
        <v>1077</v>
      </c>
      <c r="C71" s="12" t="s">
        <v>10</v>
      </c>
      <c r="D71" s="28" t="s">
        <v>1072</v>
      </c>
      <c r="E71" s="36" t="str">
        <f>HYPERLINK("https://youtu.be/--jE56eGFLw","channel 1")</f>
        <v>channel 1</v>
      </c>
    </row>
    <row r="72">
      <c r="A72" s="7"/>
      <c r="B72" s="28" t="s">
        <v>1075</v>
      </c>
      <c r="C72" s="12" t="s">
        <v>297</v>
      </c>
      <c r="D72" s="28" t="s">
        <v>1073</v>
      </c>
      <c r="E72" s="13" t="str">
        <f>HYPERLINK("https://youtu.be/UJj6vSbbQQU","channel 2")</f>
        <v>channel 2</v>
      </c>
    </row>
    <row r="73">
      <c r="A73" s="7"/>
      <c r="B73" s="28" t="s">
        <v>1077</v>
      </c>
      <c r="C73" s="12" t="s">
        <v>49</v>
      </c>
      <c r="D73" s="28" t="s">
        <v>1076</v>
      </c>
      <c r="E73" s="36" t="str">
        <f>HYPERLINK("https://youtu.be/6bKZwJ9WUCc","channel 1")</f>
        <v>channel 1</v>
      </c>
    </row>
    <row r="74">
      <c r="A74" s="7"/>
      <c r="B74" s="28" t="s">
        <v>1075</v>
      </c>
      <c r="C74" s="12" t="s">
        <v>32</v>
      </c>
      <c r="D74" s="28" t="s">
        <v>1072</v>
      </c>
      <c r="E74" s="13" t="str">
        <f>HYPERLINK("https://youtu.be/KNWHor5_hDY","channel 2")</f>
        <v>channel 2</v>
      </c>
    </row>
    <row r="75">
      <c r="A75" s="7"/>
      <c r="B75" s="28" t="s">
        <v>1077</v>
      </c>
      <c r="C75" s="12" t="s">
        <v>145</v>
      </c>
      <c r="D75" s="28" t="s">
        <v>1073</v>
      </c>
      <c r="E75" s="36" t="str">
        <f>HYPERLINK("https://youtu.be/7fBWcZDKn8k","channel 1")</f>
        <v>channel 1</v>
      </c>
    </row>
    <row r="76">
      <c r="A76" s="7"/>
      <c r="B76" s="28" t="s">
        <v>1076</v>
      </c>
      <c r="C76" s="12" t="s">
        <v>49</v>
      </c>
      <c r="D76" s="28" t="s">
        <v>1072</v>
      </c>
      <c r="E76" s="13" t="str">
        <f>HYPERLINK("https://youtu.be/QhxAAAl9w2Y","channel 2")</f>
        <v>channel 2</v>
      </c>
    </row>
    <row r="77">
      <c r="A77" s="7"/>
      <c r="B77" s="28" t="s">
        <v>1077</v>
      </c>
      <c r="C77" s="12" t="s">
        <v>10</v>
      </c>
      <c r="D77" s="28" t="s">
        <v>1075</v>
      </c>
      <c r="E77" s="36" t="str">
        <f>HYPERLINK("https://youtu.be/44JmGHH8ekU","channel 1")</f>
        <v>channel 1</v>
      </c>
    </row>
    <row r="78">
      <c r="A78" s="7"/>
      <c r="B78" s="28" t="s">
        <v>1076</v>
      </c>
      <c r="C78" s="12" t="s">
        <v>46</v>
      </c>
      <c r="D78" s="28" t="s">
        <v>1073</v>
      </c>
      <c r="E78" s="13" t="str">
        <f>HYPERLINK("https://youtu.be/zcO6P5HNVEs","channel 2")</f>
        <v>channel 2</v>
      </c>
    </row>
    <row r="79">
      <c r="A79" s="7"/>
      <c r="B79" s="28" t="s">
        <v>1073</v>
      </c>
      <c r="C79" s="12" t="s">
        <v>49</v>
      </c>
      <c r="D79" s="28" t="s">
        <v>1072</v>
      </c>
      <c r="E79" s="36" t="str">
        <f>HYPERLINK("https://youtu.be/rnOlevzCCz0","channel 1")</f>
        <v>channel 1</v>
      </c>
    </row>
    <row r="80">
      <c r="A80" s="7"/>
      <c r="B80" s="28" t="s">
        <v>1076</v>
      </c>
      <c r="C80" s="12" t="s">
        <v>24</v>
      </c>
      <c r="D80" s="28" t="s">
        <v>1075</v>
      </c>
      <c r="E80" s="13" t="str">
        <f>HYPERLINK("https://youtu.be/eGkCh_lV0w0","channel 2")</f>
        <v>channel 2</v>
      </c>
    </row>
    <row r="81">
      <c r="A81" s="7"/>
      <c r="B81" s="28" t="s">
        <v>1072</v>
      </c>
      <c r="C81" s="12" t="s">
        <v>77</v>
      </c>
      <c r="D81" s="28" t="s">
        <v>1077</v>
      </c>
      <c r="E81" s="36" t="str">
        <f>HYPERLINK("https://youtu.be/plLr-bi7rqY","channel 1")</f>
        <v>channel 1</v>
      </c>
    </row>
    <row r="82">
      <c r="A82" s="7"/>
      <c r="B82" s="28" t="s">
        <v>1073</v>
      </c>
      <c r="C82" s="12" t="s">
        <v>228</v>
      </c>
      <c r="D82" s="28" t="s">
        <v>1075</v>
      </c>
      <c r="E82" s="13" t="str">
        <f>HYPERLINK("https://youtu.be/2VapEOMz7MI","channel 2")</f>
        <v>channel 2</v>
      </c>
    </row>
    <row r="83">
      <c r="A83" s="7"/>
      <c r="B83" s="28" t="s">
        <v>1076</v>
      </c>
      <c r="C83" s="12" t="s">
        <v>30</v>
      </c>
      <c r="D83" s="28" t="s">
        <v>1077</v>
      </c>
      <c r="E83" s="36" t="str">
        <f>HYPERLINK("https://youtu.be/6qdh4UM4bcE","channel 1")</f>
        <v>channel 1</v>
      </c>
    </row>
    <row r="84">
      <c r="A84" s="7"/>
      <c r="B84" s="28" t="s">
        <v>1072</v>
      </c>
      <c r="C84" s="12" t="s">
        <v>34</v>
      </c>
      <c r="D84" s="28" t="s">
        <v>1075</v>
      </c>
      <c r="E84" s="13" t="str">
        <f>HYPERLINK("https://youtu.be/_vfhNLeB2ds","channel 2")</f>
        <v>channel 2</v>
      </c>
    </row>
    <row r="85">
      <c r="A85" s="7"/>
      <c r="B85" s="28" t="s">
        <v>1073</v>
      </c>
      <c r="C85" s="12" t="s">
        <v>32</v>
      </c>
      <c r="D85" s="28" t="s">
        <v>1077</v>
      </c>
      <c r="E85" s="36" t="str">
        <f>HYPERLINK("https://youtu.be/9_OKtSXsYOA","channel 1")</f>
        <v>channel 1</v>
      </c>
    </row>
    <row r="86">
      <c r="A86" s="7"/>
      <c r="B86" s="28" t="s">
        <v>1072</v>
      </c>
      <c r="C86" s="12" t="s">
        <v>46</v>
      </c>
      <c r="D86" s="28" t="s">
        <v>1076</v>
      </c>
      <c r="E86" s="13" t="str">
        <f>HYPERLINK("https://youtu.be/4QMIlmm4wx0","channel 2")</f>
        <v>channel 2</v>
      </c>
    </row>
    <row r="87">
      <c r="A87" s="7"/>
      <c r="B87" s="28" t="s">
        <v>1075</v>
      </c>
      <c r="C87" s="12" t="s">
        <v>749</v>
      </c>
      <c r="D87" s="28" t="s">
        <v>1077</v>
      </c>
      <c r="E87" s="36" t="str">
        <f>HYPERLINK("https://youtu.be/K5bd2SEjRWM","channel 1")</f>
        <v>channel 1</v>
      </c>
    </row>
    <row r="88">
      <c r="A88" s="25"/>
      <c r="B88" s="28" t="s">
        <v>1073</v>
      </c>
      <c r="C88" s="12" t="s">
        <v>34</v>
      </c>
      <c r="D88" s="28" t="s">
        <v>1076</v>
      </c>
      <c r="E88" s="13" t="str">
        <f>HYPERLINK("https://youtu.be/sk0SguQ2ouw","channel 2")</f>
        <v>channel 2</v>
      </c>
    </row>
    <row r="89">
      <c r="B89" s="2" t="s">
        <v>638</v>
      </c>
      <c r="C89" s="3"/>
      <c r="D89" s="4"/>
      <c r="E89" s="43"/>
    </row>
    <row r="90">
      <c r="B90" s="18" t="s">
        <v>3</v>
      </c>
      <c r="C90" s="18" t="s">
        <v>4</v>
      </c>
      <c r="D90" s="18" t="s">
        <v>5</v>
      </c>
      <c r="E90" s="8" t="s">
        <v>6</v>
      </c>
    </row>
    <row r="91">
      <c r="B91" s="28" t="s">
        <v>885</v>
      </c>
      <c r="C91" s="12" t="s">
        <v>37</v>
      </c>
      <c r="D91" s="28" t="s">
        <v>1083</v>
      </c>
      <c r="E91" s="36" t="str">
        <f>HYPERLINK("https://youtu.be/K4JeGVe1wj8","channel 1")</f>
        <v>channel 1</v>
      </c>
    </row>
    <row r="92">
      <c r="B92" s="28" t="s">
        <v>888</v>
      </c>
      <c r="C92" s="12" t="s">
        <v>189</v>
      </c>
      <c r="D92" s="28" t="s">
        <v>1084</v>
      </c>
      <c r="E92" s="13" t="str">
        <f>HYPERLINK("https://youtu.be/Zc7oUOjVZ3c","channel 2")</f>
        <v>channel 2</v>
      </c>
    </row>
    <row r="93">
      <c r="B93" s="28" t="s">
        <v>1085</v>
      </c>
      <c r="C93" s="12" t="s">
        <v>1086</v>
      </c>
      <c r="D93" s="28" t="s">
        <v>885</v>
      </c>
      <c r="E93" s="36" t="str">
        <f>HYPERLINK("https://youtu.be/sI249XfDgnk","channel 1")</f>
        <v>channel 1</v>
      </c>
    </row>
    <row r="94">
      <c r="B94" s="28" t="s">
        <v>888</v>
      </c>
      <c r="C94" s="12" t="s">
        <v>35</v>
      </c>
      <c r="D94" s="28" t="s">
        <v>1083</v>
      </c>
      <c r="E94" s="13" t="str">
        <f>HYPERLINK("https://youtu.be/gSewnIGg8f8","channel 2")</f>
        <v>channel 2</v>
      </c>
    </row>
    <row r="95">
      <c r="B95" s="28" t="s">
        <v>1085</v>
      </c>
      <c r="C95" s="12" t="s">
        <v>93</v>
      </c>
      <c r="D95" s="28" t="s">
        <v>1084</v>
      </c>
      <c r="E95" s="36" t="str">
        <f>HYPERLINK("https://youtu.be/1Xnv2dLnPwc","channel 1")</f>
        <v>channel 1</v>
      </c>
    </row>
    <row r="96">
      <c r="B96" s="28" t="s">
        <v>888</v>
      </c>
      <c r="C96" s="12" t="s">
        <v>109</v>
      </c>
      <c r="D96" s="28" t="s">
        <v>885</v>
      </c>
      <c r="E96" s="13" t="str">
        <f>HYPERLINK("https://youtu.be/vjEHgAQEAtM","channel 2")</f>
        <v>channel 2</v>
      </c>
    </row>
    <row r="97">
      <c r="B97" s="28" t="s">
        <v>1085</v>
      </c>
      <c r="C97" s="12" t="s">
        <v>33</v>
      </c>
      <c r="D97" s="28" t="s">
        <v>1083</v>
      </c>
      <c r="E97" s="36" t="str">
        <f>HYPERLINK("https://youtu.be/qpYVeqNLQVs","channel 1")</f>
        <v>channel 1</v>
      </c>
    </row>
    <row r="98">
      <c r="B98" s="28" t="s">
        <v>1084</v>
      </c>
      <c r="C98" s="12" t="s">
        <v>11</v>
      </c>
      <c r="D98" s="28" t="s">
        <v>885</v>
      </c>
      <c r="E98" s="13" t="str">
        <f>HYPERLINK("https://youtu.be/uLx1hyCapu8","channel 2")</f>
        <v>channel 2</v>
      </c>
    </row>
    <row r="99">
      <c r="B99" s="28" t="s">
        <v>1085</v>
      </c>
      <c r="C99" s="12" t="s">
        <v>46</v>
      </c>
      <c r="D99" s="28" t="s">
        <v>888</v>
      </c>
      <c r="E99" s="36" t="str">
        <f>HYPERLINK("https://youtu.be/Q1BKq0igUpc","channel 1")</f>
        <v>channel 1</v>
      </c>
    </row>
    <row r="100">
      <c r="B100" s="28" t="s">
        <v>1084</v>
      </c>
      <c r="C100" s="12" t="s">
        <v>157</v>
      </c>
      <c r="D100" s="28" t="s">
        <v>1083</v>
      </c>
      <c r="E100" s="13" t="str">
        <f>HYPERLINK("https://youtu.be/KGoD5roHBIE","channel 2")</f>
        <v>channel 2</v>
      </c>
    </row>
    <row r="101">
      <c r="B101" s="28" t="s">
        <v>1083</v>
      </c>
      <c r="C101" s="12" t="s">
        <v>1089</v>
      </c>
      <c r="D101" s="28" t="s">
        <v>885</v>
      </c>
      <c r="E101" s="36" t="str">
        <f>HYPERLINK("https://youtu.be/sW9GIcBP1cM","channel 1")</f>
        <v>channel 1</v>
      </c>
    </row>
    <row r="102">
      <c r="B102" s="28" t="s">
        <v>1084</v>
      </c>
      <c r="C102" s="12" t="s">
        <v>24</v>
      </c>
      <c r="D102" s="28" t="s">
        <v>888</v>
      </c>
      <c r="E102" s="13" t="str">
        <f>HYPERLINK("https://youtu.be/gkbX7Q6yw8g","channel 2")</f>
        <v>channel 2</v>
      </c>
    </row>
    <row r="103">
      <c r="B103" s="28" t="s">
        <v>885</v>
      </c>
      <c r="C103" s="12" t="s">
        <v>311</v>
      </c>
      <c r="D103" s="28" t="s">
        <v>1085</v>
      </c>
      <c r="E103" s="36" t="str">
        <f>HYPERLINK("https://youtu.be/bPXxqghqukM","channel 1")</f>
        <v>channel 1</v>
      </c>
    </row>
    <row r="104">
      <c r="B104" s="28" t="s">
        <v>1083</v>
      </c>
      <c r="C104" s="12" t="s">
        <v>106</v>
      </c>
      <c r="D104" s="28" t="s">
        <v>888</v>
      </c>
      <c r="E104" s="13" t="str">
        <f>HYPERLINK("https://youtu.be/qu3KxfIc2as","channel 2")</f>
        <v>channel 2</v>
      </c>
    </row>
    <row r="105">
      <c r="B105" s="28" t="s">
        <v>1084</v>
      </c>
      <c r="C105" s="12" t="s">
        <v>276</v>
      </c>
      <c r="D105" s="28" t="s">
        <v>1085</v>
      </c>
      <c r="E105" s="36" t="str">
        <f>HYPERLINK("https://youtu.be/NU7DMWccMiY","channel 1")</f>
        <v>channel 1</v>
      </c>
    </row>
    <row r="106">
      <c r="B106" s="28" t="s">
        <v>885</v>
      </c>
      <c r="C106" s="12" t="s">
        <v>223</v>
      </c>
      <c r="D106" s="28" t="s">
        <v>888</v>
      </c>
      <c r="E106" s="13" t="str">
        <f>HYPERLINK("https://youtu.be/6opngDaihzA","channel 2")</f>
        <v>channel 2</v>
      </c>
    </row>
    <row r="107">
      <c r="B107" s="28" t="s">
        <v>1083</v>
      </c>
      <c r="C107" s="12" t="s">
        <v>104</v>
      </c>
      <c r="D107" s="28" t="s">
        <v>1085</v>
      </c>
      <c r="E107" s="36" t="str">
        <f>HYPERLINK("https://youtu.be/d8VrDSu7rOY","channel 1")</f>
        <v>channel 1</v>
      </c>
    </row>
    <row r="108">
      <c r="B108" s="28" t="s">
        <v>885</v>
      </c>
      <c r="C108" s="12" t="s">
        <v>1090</v>
      </c>
      <c r="D108" s="28" t="s">
        <v>1084</v>
      </c>
      <c r="E108" s="13" t="str">
        <f>HYPERLINK("https://youtu.be/5X8esm6XWxk","channel 2")</f>
        <v>channel 2</v>
      </c>
    </row>
    <row r="109">
      <c r="B109" s="28" t="s">
        <v>888</v>
      </c>
      <c r="C109" s="12" t="s">
        <v>38</v>
      </c>
      <c r="D109" s="28" t="s">
        <v>1085</v>
      </c>
      <c r="E109" s="36" t="str">
        <f>HYPERLINK("https://youtu.be/5JLZJeyK3zc","channel 1")</f>
        <v>channel 1</v>
      </c>
    </row>
    <row r="110">
      <c r="B110" s="28" t="s">
        <v>1083</v>
      </c>
      <c r="C110" s="12" t="s">
        <v>148</v>
      </c>
      <c r="D110" s="28" t="s">
        <v>1084</v>
      </c>
      <c r="E110" s="13" t="str">
        <f>HYPERLINK("https://youtu.be/4NWlQxhNzdg","channel 2")</f>
        <v>channel 2</v>
      </c>
    </row>
    <row r="111">
      <c r="B111" s="2" t="s">
        <v>320</v>
      </c>
      <c r="C111" s="3"/>
      <c r="D111" s="4"/>
      <c r="E111" s="43"/>
    </row>
    <row r="112">
      <c r="B112" s="18" t="s">
        <v>3</v>
      </c>
      <c r="C112" s="18" t="s">
        <v>4</v>
      </c>
      <c r="D112" s="18" t="s">
        <v>5</v>
      </c>
      <c r="E112" s="8" t="s">
        <v>6</v>
      </c>
    </row>
    <row r="113">
      <c r="B113" s="28" t="s">
        <v>540</v>
      </c>
      <c r="C113" s="12" t="s">
        <v>340</v>
      </c>
      <c r="D113" s="28" t="s">
        <v>1091</v>
      </c>
      <c r="E113" s="36" t="str">
        <f>HYPERLINK("https://youtu.be/3beiZGN0R80","channel 1")</f>
        <v>channel 1</v>
      </c>
    </row>
    <row r="114">
      <c r="B114" s="28" t="s">
        <v>1092</v>
      </c>
      <c r="C114" s="12" t="s">
        <v>1093</v>
      </c>
      <c r="D114" s="28" t="s">
        <v>1094</v>
      </c>
      <c r="E114" s="13" t="str">
        <f>HYPERLINK("https://youtu.be/3-rT9VA62o4","channel 2")</f>
        <v>channel 2</v>
      </c>
    </row>
    <row r="115">
      <c r="B115" s="28" t="s">
        <v>1095</v>
      </c>
      <c r="C115" s="12" t="s">
        <v>77</v>
      </c>
      <c r="D115" s="28" t="s">
        <v>540</v>
      </c>
      <c r="E115" s="36" t="str">
        <f>HYPERLINK("https://youtu.be/CdloY1hneJU","channel 1")</f>
        <v>channel 1</v>
      </c>
    </row>
    <row r="116">
      <c r="B116" s="28" t="s">
        <v>1092</v>
      </c>
      <c r="C116" s="12" t="s">
        <v>141</v>
      </c>
      <c r="D116" s="28" t="s">
        <v>1091</v>
      </c>
      <c r="E116" s="13" t="str">
        <f>HYPERLINK("https://youtu.be/VDuGFeN3c0E","channel 2")</f>
        <v>channel 2</v>
      </c>
    </row>
    <row r="117">
      <c r="B117" s="28" t="s">
        <v>1095</v>
      </c>
      <c r="C117" s="12" t="s">
        <v>226</v>
      </c>
      <c r="D117" s="28" t="s">
        <v>1094</v>
      </c>
      <c r="E117" s="36" t="str">
        <f>HYPERLINK("https://youtu.be/uKGt1Pz1AdU","channel 1")</f>
        <v>channel 1</v>
      </c>
    </row>
    <row r="118">
      <c r="B118" s="28" t="s">
        <v>1092</v>
      </c>
      <c r="C118" s="12" t="s">
        <v>109</v>
      </c>
      <c r="D118" s="28" t="s">
        <v>540</v>
      </c>
      <c r="E118" s="13" t="str">
        <f>HYPERLINK("https://youtu.be/1dKHdQ2FNVY","channel 2")</f>
        <v>channel 2</v>
      </c>
    </row>
    <row r="119">
      <c r="B119" s="28" t="s">
        <v>1095</v>
      </c>
      <c r="C119" s="12" t="s">
        <v>157</v>
      </c>
      <c r="D119" s="28" t="s">
        <v>1091</v>
      </c>
      <c r="E119" s="36" t="str">
        <f>HYPERLINK("https://youtu.be/fWWCnvTs6Ws","channel 1")</f>
        <v>channel 1</v>
      </c>
    </row>
    <row r="120">
      <c r="B120" s="28" t="s">
        <v>1094</v>
      </c>
      <c r="C120" s="12" t="s">
        <v>470</v>
      </c>
      <c r="D120" s="28" t="s">
        <v>540</v>
      </c>
      <c r="E120" s="13" t="str">
        <f>HYPERLINK("https://youtu.be/vPOZWFyYJqE","channel 2")</f>
        <v>channel 2</v>
      </c>
    </row>
    <row r="121">
      <c r="B121" s="28" t="s">
        <v>1095</v>
      </c>
      <c r="C121" s="12" t="s">
        <v>37</v>
      </c>
      <c r="D121" s="28" t="s">
        <v>1092</v>
      </c>
      <c r="E121" s="36" t="str">
        <f>HYPERLINK("https://youtu.be/-4qwB0zHRQ4","channel 1")</f>
        <v>channel 1</v>
      </c>
    </row>
    <row r="122">
      <c r="B122" s="28" t="s">
        <v>1094</v>
      </c>
      <c r="C122" s="12" t="s">
        <v>552</v>
      </c>
      <c r="D122" s="28" t="s">
        <v>1091</v>
      </c>
      <c r="E122" s="13" t="str">
        <f>HYPERLINK("https://youtu.be/2trj0fw7eP4","channel 2")</f>
        <v>channel 2</v>
      </c>
    </row>
    <row r="123">
      <c r="B123" s="28" t="s">
        <v>1091</v>
      </c>
      <c r="C123" s="12" t="s">
        <v>420</v>
      </c>
      <c r="D123" s="28" t="s">
        <v>540</v>
      </c>
      <c r="E123" s="36" t="str">
        <f>HYPERLINK("https://youtu.be/qBPOYYu2pRA","channel 1")</f>
        <v>channel 1</v>
      </c>
    </row>
    <row r="124">
      <c r="B124" s="28" t="s">
        <v>1094</v>
      </c>
      <c r="C124" s="12" t="s">
        <v>213</v>
      </c>
      <c r="D124" s="28" t="s">
        <v>1092</v>
      </c>
      <c r="E124" s="13" t="str">
        <f>HYPERLINK("https://youtu.be/_AmbcDK2RGg","channel 2")</f>
        <v>channel 2</v>
      </c>
    </row>
    <row r="125">
      <c r="B125" s="28" t="s">
        <v>540</v>
      </c>
      <c r="C125" s="12" t="s">
        <v>577</v>
      </c>
      <c r="D125" s="28" t="s">
        <v>1095</v>
      </c>
      <c r="E125" s="36" t="str">
        <f>HYPERLINK("https://youtu.be/6GtRBnrbg4Y","channel 1")</f>
        <v>channel 1</v>
      </c>
    </row>
    <row r="126">
      <c r="B126" s="28" t="s">
        <v>1091</v>
      </c>
      <c r="C126" s="12" t="s">
        <v>40</v>
      </c>
      <c r="D126" s="28" t="s">
        <v>1092</v>
      </c>
      <c r="E126" s="13" t="str">
        <f>HYPERLINK("https://youtu.be/7cU94iPey1o","channel 2")</f>
        <v>channel 2</v>
      </c>
    </row>
    <row r="127">
      <c r="B127" s="28" t="s">
        <v>1094</v>
      </c>
      <c r="C127" s="12" t="s">
        <v>142</v>
      </c>
      <c r="D127" s="28" t="s">
        <v>1095</v>
      </c>
      <c r="E127" s="36" t="str">
        <f>HYPERLINK("https://youtu.be/zPFPcDeWG-A","channel 1")</f>
        <v>channel 1</v>
      </c>
    </row>
    <row r="128">
      <c r="B128" s="28" t="s">
        <v>540</v>
      </c>
      <c r="C128" s="12" t="s">
        <v>104</v>
      </c>
      <c r="D128" s="28" t="s">
        <v>1092</v>
      </c>
      <c r="E128" s="13" t="str">
        <f>HYPERLINK("https://youtu.be/VCa28CGMAhA","channel 2")</f>
        <v>channel 2</v>
      </c>
    </row>
    <row r="129">
      <c r="B129" s="28" t="s">
        <v>1091</v>
      </c>
      <c r="C129" s="12" t="s">
        <v>24</v>
      </c>
      <c r="D129" s="28" t="s">
        <v>1095</v>
      </c>
      <c r="E129" s="36" t="str">
        <f>HYPERLINK("https://youtu.be/O9h_qmJV5jU","channel 1")</f>
        <v>channel 1</v>
      </c>
    </row>
    <row r="130">
      <c r="B130" s="28" t="s">
        <v>540</v>
      </c>
      <c r="C130" s="12" t="s">
        <v>1099</v>
      </c>
      <c r="D130" s="28" t="s">
        <v>1094</v>
      </c>
      <c r="E130" s="13" t="str">
        <f>HYPERLINK("https://www.youtube.com/watch?v=snFaupThJgw","channel 2")</f>
        <v>channel 2</v>
      </c>
    </row>
    <row r="131">
      <c r="B131" s="28" t="s">
        <v>1092</v>
      </c>
      <c r="C131" s="12" t="s">
        <v>49</v>
      </c>
      <c r="D131" s="28" t="s">
        <v>1095</v>
      </c>
      <c r="E131" s="36" t="str">
        <f>HYPERLINK("https://youtu.be/tfsHXnSAKvQ","channel 1")</f>
        <v>channel 1</v>
      </c>
    </row>
    <row r="132">
      <c r="B132" s="28" t="s">
        <v>1091</v>
      </c>
      <c r="C132" s="12" t="s">
        <v>143</v>
      </c>
      <c r="D132" s="28" t="s">
        <v>1094</v>
      </c>
      <c r="E132" s="13" t="str">
        <f>HYPERLINK("https://www.youtube.com/watch?v=RdphBVlc7ew","channel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0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1066</v>
      </c>
      <c r="C3" s="12" t="s">
        <v>32</v>
      </c>
      <c r="D3" s="28" t="s">
        <v>673</v>
      </c>
      <c r="E3" s="36" t="str">
        <f>HYPERLINK("https://youtu.be/xs7YF0VMChQ","channel 1")</f>
        <v>channel 1</v>
      </c>
    </row>
    <row r="4">
      <c r="A4" s="7"/>
      <c r="B4" s="28" t="s">
        <v>1068</v>
      </c>
      <c r="C4" s="12" t="s">
        <v>228</v>
      </c>
      <c r="D4" s="28" t="s">
        <v>1069</v>
      </c>
      <c r="E4" s="13" t="str">
        <f>HYPERLINK("https://youtu.be/1JXepVJOlFI","channel 2")</f>
        <v>channel 2</v>
      </c>
    </row>
    <row r="5">
      <c r="A5" s="7"/>
      <c r="B5" s="28" t="s">
        <v>1070</v>
      </c>
      <c r="C5" s="12" t="s">
        <v>104</v>
      </c>
      <c r="D5" s="28" t="s">
        <v>1066</v>
      </c>
      <c r="E5" s="54" t="str">
        <f>HYPERLINK("https://youtu.be/q2djOKeCNa4","channel 1")</f>
        <v>channel 1</v>
      </c>
    </row>
    <row r="6">
      <c r="A6" s="7"/>
      <c r="B6" s="28" t="s">
        <v>1068</v>
      </c>
      <c r="C6" s="12" t="s">
        <v>111</v>
      </c>
      <c r="D6" s="28" t="s">
        <v>673</v>
      </c>
      <c r="E6" s="13" t="str">
        <f>HYPERLINK("https://youtu.be/x8F3lOql5kA","channel 2")</f>
        <v>channel 2</v>
      </c>
    </row>
    <row r="7">
      <c r="A7" s="7"/>
      <c r="B7" s="28" t="s">
        <v>1070</v>
      </c>
      <c r="C7" s="12" t="s">
        <v>180</v>
      </c>
      <c r="D7" s="28" t="s">
        <v>1069</v>
      </c>
      <c r="E7" s="36" t="str">
        <f>HYPERLINK("https://youtu.be/hCW5HqDpucM","channel 1")</f>
        <v>channel 1</v>
      </c>
    </row>
    <row r="8">
      <c r="A8" s="7"/>
      <c r="B8" s="28" t="s">
        <v>1068</v>
      </c>
      <c r="C8" s="12" t="s">
        <v>36</v>
      </c>
      <c r="D8" s="28" t="s">
        <v>1066</v>
      </c>
      <c r="E8" s="13" t="str">
        <f>HYPERLINK("https://youtu.be/gLOQ6Kls17s","channel 2")</f>
        <v>channel 2</v>
      </c>
    </row>
    <row r="9">
      <c r="A9" s="7"/>
      <c r="B9" s="28" t="s">
        <v>1070</v>
      </c>
      <c r="C9" s="12" t="s">
        <v>34</v>
      </c>
      <c r="D9" s="28" t="s">
        <v>673</v>
      </c>
      <c r="E9" s="54" t="str">
        <f>HYPERLINK("https://youtu.be/vxNfXIkWYD0","channel 1")</f>
        <v>channel 1</v>
      </c>
    </row>
    <row r="10">
      <c r="A10" s="7"/>
      <c r="B10" s="28" t="s">
        <v>1069</v>
      </c>
      <c r="C10" s="12" t="s">
        <v>30</v>
      </c>
      <c r="D10" s="28" t="s">
        <v>1066</v>
      </c>
      <c r="E10" s="13" t="str">
        <f>HYPERLINK("https://youtu.be/_oCXuFzTpzM","channel 2")</f>
        <v>channel 2</v>
      </c>
    </row>
    <row r="11">
      <c r="A11" s="7"/>
      <c r="B11" s="28" t="s">
        <v>1070</v>
      </c>
      <c r="C11" s="12" t="s">
        <v>156</v>
      </c>
      <c r="D11" s="28" t="s">
        <v>1068</v>
      </c>
      <c r="E11" s="36" t="str">
        <f>HYPERLINK("https://youtu.be/-iRNc50aMHQ","channel 1")</f>
        <v>channel 1</v>
      </c>
    </row>
    <row r="12">
      <c r="A12" s="7"/>
      <c r="B12" s="28" t="s">
        <v>1069</v>
      </c>
      <c r="C12" s="12" t="s">
        <v>30</v>
      </c>
      <c r="D12" s="28" t="s">
        <v>673</v>
      </c>
      <c r="E12" s="13" t="str">
        <f>HYPERLINK("https://youtu.be/BlVzgfDyQYY","channel 2")</f>
        <v>channel 2</v>
      </c>
    </row>
    <row r="13">
      <c r="A13" s="7"/>
      <c r="B13" s="28" t="s">
        <v>673</v>
      </c>
      <c r="C13" s="12" t="s">
        <v>141</v>
      </c>
      <c r="D13" s="28" t="s">
        <v>1066</v>
      </c>
      <c r="E13" s="54" t="str">
        <f>HYPERLINK("https://youtu.be/7SvAjVv_NCA","channel 1")</f>
        <v>channel 1</v>
      </c>
    </row>
    <row r="14">
      <c r="A14" s="7"/>
      <c r="B14" s="28" t="s">
        <v>1069</v>
      </c>
      <c r="C14" s="12" t="s">
        <v>1071</v>
      </c>
      <c r="D14" s="28" t="s">
        <v>1068</v>
      </c>
      <c r="E14" s="13" t="str">
        <f>HYPERLINK("https://youtu.be/9JcE4cUI-5A","channel 2")</f>
        <v>channel 2</v>
      </c>
    </row>
    <row r="15">
      <c r="A15" s="7"/>
      <c r="B15" s="28" t="s">
        <v>1066</v>
      </c>
      <c r="C15" s="12" t="s">
        <v>38</v>
      </c>
      <c r="D15" s="28" t="s">
        <v>1070</v>
      </c>
      <c r="E15" s="36" t="str">
        <f>HYPERLINK("https://youtu.be/JXVN0UAVuiY","channel 1")</f>
        <v>channel 1</v>
      </c>
    </row>
    <row r="16">
      <c r="A16" s="7"/>
      <c r="B16" s="28" t="s">
        <v>673</v>
      </c>
      <c r="C16" s="12" t="s">
        <v>108</v>
      </c>
      <c r="D16" s="28" t="s">
        <v>1068</v>
      </c>
      <c r="E16" s="13" t="str">
        <f>HYPERLINK("https://youtu.be/GifT_U61CU0","channel 2")</f>
        <v>channel 2</v>
      </c>
    </row>
    <row r="17">
      <c r="A17" s="7"/>
      <c r="B17" s="28" t="s">
        <v>1069</v>
      </c>
      <c r="C17" s="12" t="s">
        <v>104</v>
      </c>
      <c r="D17" s="28" t="s">
        <v>1070</v>
      </c>
      <c r="E17" s="54" t="str">
        <f>HYPERLINK("https://youtu.be/J0Mravty90I","channel 1")</f>
        <v>channel 1</v>
      </c>
    </row>
    <row r="18">
      <c r="A18" s="7"/>
      <c r="B18" s="28" t="s">
        <v>1066</v>
      </c>
      <c r="C18" s="12" t="s">
        <v>103</v>
      </c>
      <c r="D18" s="28" t="s">
        <v>1068</v>
      </c>
      <c r="E18" s="13" t="str">
        <f>HYPERLINK("https://youtu.be/hvCTnwS_Sp4","channel 2")</f>
        <v>channel 2</v>
      </c>
    </row>
    <row r="19">
      <c r="A19" s="7"/>
      <c r="B19" s="28" t="s">
        <v>673</v>
      </c>
      <c r="C19" s="12" t="s">
        <v>47</v>
      </c>
      <c r="D19" s="28" t="s">
        <v>1070</v>
      </c>
      <c r="E19" s="36" t="str">
        <f>HYPERLINK("https://youtu.be/oC73eClZmCI","channel 1")</f>
        <v>channel 1</v>
      </c>
    </row>
    <row r="20">
      <c r="A20" s="7"/>
      <c r="B20" s="28" t="s">
        <v>1066</v>
      </c>
      <c r="C20" s="12" t="s">
        <v>10</v>
      </c>
      <c r="D20" s="28" t="s">
        <v>1069</v>
      </c>
      <c r="E20" s="13" t="str">
        <f>HYPERLINK("https://youtu.be/8RqkwRV-Eyk","channel 2")</f>
        <v>channel 2</v>
      </c>
    </row>
    <row r="21">
      <c r="A21" s="7"/>
      <c r="B21" s="28" t="s">
        <v>1068</v>
      </c>
      <c r="C21" s="12" t="s">
        <v>239</v>
      </c>
      <c r="D21" s="28" t="s">
        <v>1070</v>
      </c>
      <c r="E21" s="54" t="str">
        <f>HYPERLINK("https://youtu.be/iIm0DMvTxO0","channel 1")</f>
        <v>channel 1</v>
      </c>
    </row>
    <row r="22">
      <c r="A22" s="7"/>
      <c r="B22" s="28" t="s">
        <v>673</v>
      </c>
      <c r="C22" s="12" t="s">
        <v>99</v>
      </c>
      <c r="D22" s="28" t="s">
        <v>1069</v>
      </c>
      <c r="E22" s="13" t="str">
        <f>HYPERLINK("https://youtu.be/1LSzIPfNU0g","channel 2")</f>
        <v>channel 2</v>
      </c>
    </row>
    <row r="23">
      <c r="A23" s="7"/>
      <c r="B23" s="2" t="s">
        <v>1074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1078</v>
      </c>
      <c r="C25" s="12" t="s">
        <v>246</v>
      </c>
      <c r="D25" s="28" t="s">
        <v>1079</v>
      </c>
      <c r="E25" s="36" t="str">
        <f>HYPERLINK("https://youtu.be/u5tWJ8_mMic","channel 1")</f>
        <v>channel 1</v>
      </c>
    </row>
    <row r="26">
      <c r="A26" s="7"/>
      <c r="B26" s="28" t="s">
        <v>808</v>
      </c>
      <c r="C26" s="12" t="s">
        <v>142</v>
      </c>
      <c r="D26" s="28" t="s">
        <v>1080</v>
      </c>
      <c r="E26" s="13" t="str">
        <f>HYPERLINK("https://youtu.be/rgM5JUtq9wk","channel 2")</f>
        <v>channel 2</v>
      </c>
    </row>
    <row r="27">
      <c r="A27" s="7"/>
      <c r="B27" s="28" t="s">
        <v>606</v>
      </c>
      <c r="C27" s="12" t="s">
        <v>30</v>
      </c>
      <c r="D27" s="28" t="s">
        <v>1078</v>
      </c>
      <c r="E27" s="54" t="str">
        <f>HYPERLINK("https://youtu.be/jYNR-MG-FDE","channel 1")</f>
        <v>channel 1</v>
      </c>
    </row>
    <row r="28">
      <c r="A28" s="7"/>
      <c r="B28" s="28" t="s">
        <v>808</v>
      </c>
      <c r="C28" s="12" t="s">
        <v>109</v>
      </c>
      <c r="D28" s="28" t="s">
        <v>1079</v>
      </c>
      <c r="E28" s="13" t="str">
        <f>HYPERLINK("https://youtu.be/1bosot7ijxA","channel 2")</f>
        <v>channel 2</v>
      </c>
    </row>
    <row r="29">
      <c r="A29" s="7"/>
      <c r="B29" s="28" t="s">
        <v>606</v>
      </c>
      <c r="C29" s="12" t="s">
        <v>84</v>
      </c>
      <c r="D29" s="28" t="s">
        <v>1080</v>
      </c>
      <c r="E29" s="36" t="str">
        <f>HYPERLINK("https://youtu.be/8dNVMcPalGQ","channel 1")</f>
        <v>channel 1</v>
      </c>
    </row>
    <row r="30">
      <c r="A30" s="7"/>
      <c r="B30" s="28" t="s">
        <v>808</v>
      </c>
      <c r="C30" s="12" t="s">
        <v>894</v>
      </c>
      <c r="D30" s="28" t="s">
        <v>1078</v>
      </c>
      <c r="E30" s="13" t="str">
        <f>HYPERLINK("https://youtu.be/ZwuJO72LYpE","channel 2")</f>
        <v>channel 2</v>
      </c>
    </row>
    <row r="31">
      <c r="A31" s="7"/>
      <c r="B31" s="28" t="s">
        <v>606</v>
      </c>
      <c r="C31" s="12" t="s">
        <v>117</v>
      </c>
      <c r="D31" s="28" t="s">
        <v>1079</v>
      </c>
      <c r="E31" s="54" t="str">
        <f>HYPERLINK("https://youtu.be/v7FjquMaZdM","channel 1")</f>
        <v>channel 1</v>
      </c>
    </row>
    <row r="32">
      <c r="A32" s="7"/>
      <c r="B32" s="28" t="s">
        <v>1080</v>
      </c>
      <c r="C32" s="12" t="s">
        <v>212</v>
      </c>
      <c r="D32" s="28" t="s">
        <v>1078</v>
      </c>
      <c r="E32" s="13" t="str">
        <f>HYPERLINK("https://youtu.be/wBd0YQHnQVE","channel 2")</f>
        <v>channel 2</v>
      </c>
    </row>
    <row r="33">
      <c r="A33" s="7"/>
      <c r="B33" s="28" t="s">
        <v>606</v>
      </c>
      <c r="C33" s="12" t="s">
        <v>77</v>
      </c>
      <c r="D33" s="28" t="s">
        <v>808</v>
      </c>
      <c r="E33" s="36" t="str">
        <f>HYPERLINK("https://youtu.be/-6fKyjYSAgQ","channel 1")</f>
        <v>channel 1</v>
      </c>
    </row>
    <row r="34">
      <c r="A34" s="7"/>
      <c r="B34" s="28" t="s">
        <v>1080</v>
      </c>
      <c r="C34" s="12" t="s">
        <v>42</v>
      </c>
      <c r="D34" s="28" t="s">
        <v>1079</v>
      </c>
      <c r="E34" s="13" t="str">
        <f>HYPERLINK("https://youtu.be/hNRQxUgDZGA","channel 2")</f>
        <v>channel 2</v>
      </c>
    </row>
    <row r="35">
      <c r="A35" s="7"/>
      <c r="B35" s="28" t="s">
        <v>1079</v>
      </c>
      <c r="C35" s="12" t="s">
        <v>44</v>
      </c>
      <c r="D35" s="28" t="s">
        <v>1078</v>
      </c>
      <c r="E35" s="54" t="str">
        <f>HYPERLINK("https://youtu.be/0QU_qB-aOgE","channel 1")</f>
        <v>channel 1</v>
      </c>
    </row>
    <row r="36">
      <c r="A36" s="7"/>
      <c r="B36" s="28" t="s">
        <v>1080</v>
      </c>
      <c r="C36" s="12" t="s">
        <v>148</v>
      </c>
      <c r="D36" s="28" t="s">
        <v>808</v>
      </c>
      <c r="E36" s="13" t="str">
        <f>HYPERLINK("https://youtu.be/oJ_NCgVYmtM","channel 2")</f>
        <v>channel 2</v>
      </c>
    </row>
    <row r="37">
      <c r="A37" s="7"/>
      <c r="B37" s="28" t="s">
        <v>1078</v>
      </c>
      <c r="C37" s="12" t="s">
        <v>37</v>
      </c>
      <c r="D37" s="28" t="s">
        <v>606</v>
      </c>
      <c r="E37" s="36" t="str">
        <f>HYPERLINK("https://youtu.be/Xq22gGPWqj8","channel 1")</f>
        <v>channel 1</v>
      </c>
    </row>
    <row r="38">
      <c r="A38" s="7"/>
      <c r="B38" s="28" t="s">
        <v>1079</v>
      </c>
      <c r="C38" s="12" t="s">
        <v>1081</v>
      </c>
      <c r="D38" s="28" t="s">
        <v>808</v>
      </c>
      <c r="E38" s="13" t="str">
        <f>HYPERLINK("https://youtu.be/kvMbKF8yXpg","channel 2")</f>
        <v>channel 2</v>
      </c>
    </row>
    <row r="39">
      <c r="A39" s="7"/>
      <c r="B39" s="28" t="s">
        <v>1080</v>
      </c>
      <c r="C39" s="18" t="s">
        <v>188</v>
      </c>
      <c r="D39" s="28" t="s">
        <v>606</v>
      </c>
      <c r="E39" s="54" t="str">
        <f>HYPERLINK("https://youtu.be/rr3o3m6-2RY","channel 1")</f>
        <v>channel 1</v>
      </c>
    </row>
    <row r="40">
      <c r="A40" s="7"/>
      <c r="B40" s="28" t="s">
        <v>1078</v>
      </c>
      <c r="C40" s="12" t="s">
        <v>148</v>
      </c>
      <c r="D40" s="28" t="s">
        <v>808</v>
      </c>
      <c r="E40" s="13" t="str">
        <f>HYPERLINK("https://youtu.be/x_8mYVex2gQ","channel 2")</f>
        <v>channel 2</v>
      </c>
    </row>
    <row r="41">
      <c r="A41" s="7"/>
      <c r="B41" s="28" t="s">
        <v>1079</v>
      </c>
      <c r="C41" s="12" t="s">
        <v>49</v>
      </c>
      <c r="D41" s="28" t="s">
        <v>606</v>
      </c>
      <c r="E41" s="36" t="str">
        <f>HYPERLINK("https://youtu.be/H9517pfECes","channel 1")</f>
        <v>channel 1</v>
      </c>
    </row>
    <row r="42">
      <c r="A42" s="7"/>
      <c r="B42" s="28" t="s">
        <v>1078</v>
      </c>
      <c r="C42" s="12" t="s">
        <v>365</v>
      </c>
      <c r="D42" s="28" t="s">
        <v>1080</v>
      </c>
      <c r="E42" s="13" t="str">
        <f>HYPERLINK("https://youtu.be/rKSwtazTcv8","channel 2")</f>
        <v>channel 2</v>
      </c>
    </row>
    <row r="43">
      <c r="A43" s="7"/>
      <c r="B43" s="28" t="s">
        <v>808</v>
      </c>
      <c r="C43" s="12" t="s">
        <v>18</v>
      </c>
      <c r="D43" s="28" t="s">
        <v>606</v>
      </c>
      <c r="E43" s="54" t="str">
        <f>HYPERLINK("https://youtu.be/9U6OZ-mHG30","channel 1")</f>
        <v>channel 1</v>
      </c>
    </row>
    <row r="44">
      <c r="A44" s="7"/>
      <c r="B44" s="28" t="s">
        <v>1079</v>
      </c>
      <c r="C44" s="12" t="s">
        <v>88</v>
      </c>
      <c r="D44" s="28" t="s">
        <v>1080</v>
      </c>
      <c r="E44" s="13" t="str">
        <f>HYPERLINK("https://youtu.be/k_3twbUCDTQ","channel 2")</f>
        <v>channel 2</v>
      </c>
    </row>
    <row r="45">
      <c r="A45" s="7"/>
      <c r="B45" s="2" t="s">
        <v>1082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136</v>
      </c>
      <c r="C47" s="12" t="s">
        <v>506</v>
      </c>
      <c r="D47" s="28" t="s">
        <v>677</v>
      </c>
      <c r="E47" s="36" t="str">
        <f>HYPERLINK("https://youtu.be/q9Hwa3pDJqY","channel 1")</f>
        <v>channel 1</v>
      </c>
    </row>
    <row r="48">
      <c r="A48" s="7"/>
      <c r="B48" s="28" t="s">
        <v>1064</v>
      </c>
      <c r="C48" s="12" t="s">
        <v>46</v>
      </c>
      <c r="D48" s="28" t="s">
        <v>1087</v>
      </c>
      <c r="E48" s="13" t="str">
        <f>HYPERLINK("https://youtu.be/F4z54xT8qdU","channel 2")</f>
        <v>channel 2</v>
      </c>
    </row>
    <row r="49">
      <c r="A49" s="7"/>
      <c r="B49" s="28" t="s">
        <v>1088</v>
      </c>
      <c r="C49" s="12" t="s">
        <v>675</v>
      </c>
      <c r="D49" s="28" t="s">
        <v>136</v>
      </c>
      <c r="E49" s="54" t="str">
        <f>HYPERLINK("https://youtu.be/rtUB9jprqAk","channel 1")</f>
        <v>channel 1</v>
      </c>
    </row>
    <row r="50">
      <c r="A50" s="7"/>
      <c r="B50" s="28" t="s">
        <v>1064</v>
      </c>
      <c r="C50" s="12" t="s">
        <v>46</v>
      </c>
      <c r="D50" s="28" t="s">
        <v>677</v>
      </c>
      <c r="E50" s="13" t="str">
        <f>HYPERLINK("https://youtu.be/6nAYZ9cpVcU","channel 2")</f>
        <v>channel 2</v>
      </c>
    </row>
    <row r="51">
      <c r="A51" s="7"/>
      <c r="B51" s="28" t="s">
        <v>1088</v>
      </c>
      <c r="C51" s="12" t="s">
        <v>145</v>
      </c>
      <c r="D51" s="28" t="s">
        <v>1087</v>
      </c>
      <c r="E51" s="36" t="str">
        <f>HYPERLINK("https://youtu.be/qcd931KLwYw","channel 1")</f>
        <v>channel 1</v>
      </c>
    </row>
    <row r="52">
      <c r="A52" s="7"/>
      <c r="B52" s="28" t="s">
        <v>1064</v>
      </c>
      <c r="C52" s="12" t="s">
        <v>30</v>
      </c>
      <c r="D52" s="28" t="s">
        <v>136</v>
      </c>
      <c r="E52" s="13" t="str">
        <f>HYPERLINK("https://youtu.be/D4xfkr0JUQE","channel 2")</f>
        <v>channel 2</v>
      </c>
    </row>
    <row r="53">
      <c r="A53" s="7"/>
      <c r="B53" s="28" t="s">
        <v>1088</v>
      </c>
      <c r="C53" s="12" t="s">
        <v>20</v>
      </c>
      <c r="D53" s="28" t="s">
        <v>677</v>
      </c>
      <c r="E53" s="36" t="str">
        <f>HYPERLINK("https://youtu.be/Af6fdYQERNE","channel 1")</f>
        <v>channel 1</v>
      </c>
    </row>
    <row r="54">
      <c r="A54" s="7"/>
      <c r="B54" s="28" t="s">
        <v>1087</v>
      </c>
      <c r="C54" s="12" t="s">
        <v>478</v>
      </c>
      <c r="D54" s="28" t="s">
        <v>136</v>
      </c>
      <c r="E54" s="13" t="str">
        <f>HYPERLINK("https://youtu.be/CDFhxuoBq_g","channel 2")</f>
        <v>channel 2</v>
      </c>
    </row>
    <row r="55">
      <c r="A55" s="7"/>
      <c r="B55" s="28" t="s">
        <v>1088</v>
      </c>
      <c r="C55" s="12" t="s">
        <v>786</v>
      </c>
      <c r="D55" s="28" t="s">
        <v>1064</v>
      </c>
      <c r="E55" s="36" t="str">
        <f>HYPERLINK("https://youtu.be/76Sr66L3Q2M","channel 1")</f>
        <v>channel 1</v>
      </c>
    </row>
    <row r="56">
      <c r="A56" s="7"/>
      <c r="B56" s="28" t="s">
        <v>1087</v>
      </c>
      <c r="C56" s="12" t="s">
        <v>148</v>
      </c>
      <c r="D56" s="28" t="s">
        <v>677</v>
      </c>
      <c r="E56" s="13" t="str">
        <f>HYPERLINK("https://youtu.be/d6qjcQgloxI","channel 2")</f>
        <v>channel 2</v>
      </c>
    </row>
    <row r="57">
      <c r="A57" s="7"/>
      <c r="B57" s="28" t="s">
        <v>677</v>
      </c>
      <c r="C57" s="12" t="s">
        <v>124</v>
      </c>
      <c r="D57" s="28" t="s">
        <v>136</v>
      </c>
      <c r="E57" s="54" t="str">
        <f>HYPERLINK("https://youtu.be/TGIo7-BG3Xg","channel 1")</f>
        <v>channel 1</v>
      </c>
    </row>
    <row r="58">
      <c r="A58" s="7"/>
      <c r="B58" s="28" t="s">
        <v>1087</v>
      </c>
      <c r="C58" s="12" t="s">
        <v>32</v>
      </c>
      <c r="D58" s="28" t="s">
        <v>1064</v>
      </c>
      <c r="E58" s="13" t="str">
        <f>HYPERLINK("https://youtu.be/4pdbROoyMoQ","channel 2")</f>
        <v>channel 2</v>
      </c>
    </row>
    <row r="59">
      <c r="A59" s="7"/>
      <c r="B59" s="28" t="s">
        <v>136</v>
      </c>
      <c r="C59" s="12" t="s">
        <v>99</v>
      </c>
      <c r="D59" s="28" t="s">
        <v>1088</v>
      </c>
      <c r="E59" s="36" t="str">
        <f>HYPERLINK("https://youtu.be/TTIdB7cJMUo","channel 1")</f>
        <v>channel 1</v>
      </c>
    </row>
    <row r="60">
      <c r="A60" s="7"/>
      <c r="B60" s="28" t="s">
        <v>677</v>
      </c>
      <c r="C60" s="12" t="s">
        <v>34</v>
      </c>
      <c r="D60" s="28" t="s">
        <v>1064</v>
      </c>
      <c r="E60" s="13" t="str">
        <f>HYPERLINK("https://youtu.be/PDq0vmTb-WU","channel 2")</f>
        <v>channel 2</v>
      </c>
    </row>
    <row r="61">
      <c r="A61" s="7"/>
      <c r="B61" s="28" t="s">
        <v>1087</v>
      </c>
      <c r="C61" s="12" t="s">
        <v>308</v>
      </c>
      <c r="D61" s="28" t="s">
        <v>1088</v>
      </c>
      <c r="E61" s="54" t="str">
        <f>HYPERLINK("https://youtu.be/qQ4ywXp-JnM","channel 1")</f>
        <v>channel 1</v>
      </c>
    </row>
    <row r="62">
      <c r="A62" s="7"/>
      <c r="B62" s="28" t="s">
        <v>136</v>
      </c>
      <c r="C62" s="18" t="s">
        <v>99</v>
      </c>
      <c r="D62" s="28" t="s">
        <v>1064</v>
      </c>
      <c r="E62" s="13" t="str">
        <f>HYPERLINK("https://youtu.be/U3gWpn8GFpA","channel 2")</f>
        <v>channel 2</v>
      </c>
    </row>
    <row r="63">
      <c r="A63" s="7"/>
      <c r="B63" s="28" t="s">
        <v>677</v>
      </c>
      <c r="C63" s="12" t="s">
        <v>47</v>
      </c>
      <c r="D63" s="28" t="s">
        <v>1088</v>
      </c>
      <c r="E63" s="36" t="str">
        <f>HYPERLINK("https://youtu.be/0p4t7UEOkEg","channel 1")</f>
        <v>channel 1</v>
      </c>
    </row>
    <row r="64">
      <c r="A64" s="7"/>
      <c r="B64" s="28" t="s">
        <v>136</v>
      </c>
      <c r="C64" s="12" t="s">
        <v>148</v>
      </c>
      <c r="D64" s="28" t="s">
        <v>1087</v>
      </c>
      <c r="E64" s="13" t="str">
        <f>HYPERLINK("https://youtu.be/5ni6uUZabI0","channel 2")</f>
        <v>channel 2</v>
      </c>
    </row>
    <row r="65">
      <c r="A65" s="7"/>
      <c r="B65" s="28" t="s">
        <v>1064</v>
      </c>
      <c r="C65" s="12" t="s">
        <v>460</v>
      </c>
      <c r="D65" s="28" t="s">
        <v>1088</v>
      </c>
      <c r="E65" s="54" t="str">
        <f>HYPERLINK("https://youtu.be/CBVJK1YJTpY","channel 1")</f>
        <v>channel 1</v>
      </c>
    </row>
    <row r="66">
      <c r="A66" s="7"/>
      <c r="B66" s="28" t="s">
        <v>677</v>
      </c>
      <c r="C66" s="12" t="s">
        <v>10</v>
      </c>
      <c r="D66" s="28" t="s">
        <v>1087</v>
      </c>
      <c r="E66" s="13" t="str">
        <f>HYPERLINK("https://youtu.be/Go71Q6qsPhc","channel 2")</f>
        <v>channel 2</v>
      </c>
    </row>
    <row r="67">
      <c r="A67" s="7"/>
      <c r="B67" s="2" t="s">
        <v>240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242</v>
      </c>
      <c r="C69" s="12" t="s">
        <v>322</v>
      </c>
      <c r="D69" s="28" t="s">
        <v>720</v>
      </c>
      <c r="E69" s="36" t="str">
        <f>HYPERLINK("https://youtu.be/iZX0tvt79ds","channel 1")</f>
        <v>channel 1</v>
      </c>
    </row>
    <row r="70">
      <c r="A70" s="7"/>
      <c r="B70" s="28" t="s">
        <v>1096</v>
      </c>
      <c r="C70" s="12" t="s">
        <v>46</v>
      </c>
      <c r="D70" s="28" t="s">
        <v>1097</v>
      </c>
      <c r="E70" s="13" t="str">
        <f>HYPERLINK("https://youtu.be/owyheOM6A38","channel 2")</f>
        <v>channel 2</v>
      </c>
    </row>
    <row r="71">
      <c r="A71" s="7"/>
      <c r="B71" s="28" t="s">
        <v>1098</v>
      </c>
      <c r="C71" s="12" t="s">
        <v>375</v>
      </c>
      <c r="D71" s="28" t="s">
        <v>242</v>
      </c>
      <c r="E71" s="54" t="str">
        <f>HYPERLINK("https://youtu.be/Spdoth2Px2c","channel 1")</f>
        <v>channel 1</v>
      </c>
    </row>
    <row r="72">
      <c r="A72" s="7"/>
      <c r="B72" s="28" t="s">
        <v>1096</v>
      </c>
      <c r="C72" s="12" t="s">
        <v>436</v>
      </c>
      <c r="D72" s="28" t="s">
        <v>720</v>
      </c>
      <c r="E72" s="13" t="str">
        <f>HYPERLINK("https://youtu.be/e3fvFiDtgio","channel 2")</f>
        <v>channel 2</v>
      </c>
    </row>
    <row r="73">
      <c r="A73" s="7"/>
      <c r="B73" s="28" t="s">
        <v>1098</v>
      </c>
      <c r="C73" s="12" t="s">
        <v>577</v>
      </c>
      <c r="D73" s="28" t="s">
        <v>1097</v>
      </c>
      <c r="E73" s="54" t="str">
        <f>HYPERLINK("https://youtu.be/mIy1y0EK4SI","channel 1")</f>
        <v>channel 1</v>
      </c>
    </row>
    <row r="74">
      <c r="A74" s="7"/>
      <c r="B74" s="28" t="s">
        <v>1096</v>
      </c>
      <c r="C74" s="12" t="s">
        <v>477</v>
      </c>
      <c r="D74" s="28" t="s">
        <v>242</v>
      </c>
      <c r="E74" s="13" t="str">
        <f>HYPERLINK("https://youtu.be/VzRuFR_Z82I","channel 2")</f>
        <v>channel 2</v>
      </c>
    </row>
    <row r="75">
      <c r="A75" s="7"/>
      <c r="B75" s="28" t="s">
        <v>1098</v>
      </c>
      <c r="C75" s="12" t="s">
        <v>160</v>
      </c>
      <c r="D75" s="28" t="s">
        <v>720</v>
      </c>
      <c r="E75" s="54" t="str">
        <f>HYPERLINK("https://youtu.be/xyO4e7C6wx0","channel 1")</f>
        <v>channel 1</v>
      </c>
    </row>
    <row r="76">
      <c r="A76" s="7"/>
      <c r="B76" s="28" t="s">
        <v>1097</v>
      </c>
      <c r="C76" s="12" t="s">
        <v>214</v>
      </c>
      <c r="D76" s="28" t="s">
        <v>242</v>
      </c>
      <c r="E76" s="13" t="str">
        <f>HYPERLINK("https://youtu.be/N2yHUfnQ22Q","channel 2")</f>
        <v>channel 2</v>
      </c>
    </row>
    <row r="77">
      <c r="A77" s="7"/>
      <c r="B77" s="28" t="s">
        <v>1098</v>
      </c>
      <c r="C77" s="12" t="s">
        <v>74</v>
      </c>
      <c r="D77" s="28" t="s">
        <v>1096</v>
      </c>
      <c r="E77" s="36" t="str">
        <f>HYPERLINK("https://youtu.be/KHML8BcSChc","channel 1")</f>
        <v>channel 1</v>
      </c>
    </row>
    <row r="78">
      <c r="A78" s="7"/>
      <c r="B78" s="28" t="s">
        <v>1097</v>
      </c>
      <c r="C78" s="12" t="s">
        <v>106</v>
      </c>
      <c r="D78" s="28" t="s">
        <v>720</v>
      </c>
      <c r="E78" s="13" t="str">
        <f>HYPERLINK("https://youtu.be/f0xMUP1Mgqw","channel 2")</f>
        <v>channel 2</v>
      </c>
    </row>
    <row r="79">
      <c r="A79" s="7"/>
      <c r="B79" s="28" t="s">
        <v>720</v>
      </c>
      <c r="C79" s="12" t="s">
        <v>190</v>
      </c>
      <c r="D79" s="28" t="s">
        <v>242</v>
      </c>
      <c r="E79" s="54" t="str">
        <f>HYPERLINK("https://youtu.be/HdBYhThKqjU","channel 1")</f>
        <v>channel 1</v>
      </c>
    </row>
    <row r="80">
      <c r="A80" s="7"/>
      <c r="B80" s="28" t="s">
        <v>1097</v>
      </c>
      <c r="C80" s="12" t="s">
        <v>210</v>
      </c>
      <c r="D80" s="28" t="s">
        <v>1096</v>
      </c>
      <c r="E80" s="13" t="str">
        <f>HYPERLINK("https://youtu.be/H1HdFkgtMd0","channel 2")</f>
        <v>channel 2</v>
      </c>
    </row>
    <row r="81">
      <c r="A81" s="7"/>
      <c r="B81" s="28" t="s">
        <v>242</v>
      </c>
      <c r="C81" s="12" t="s">
        <v>110</v>
      </c>
      <c r="D81" s="28" t="s">
        <v>1098</v>
      </c>
      <c r="E81" s="36" t="str">
        <f>HYPERLINK("https://youtu.be/rvEvvvmDxuI","channel 1")</f>
        <v>channel 1</v>
      </c>
    </row>
    <row r="82">
      <c r="A82" s="7"/>
      <c r="B82" s="28" t="s">
        <v>720</v>
      </c>
      <c r="C82" s="12" t="s">
        <v>124</v>
      </c>
      <c r="D82" s="28" t="s">
        <v>1096</v>
      </c>
      <c r="E82" s="13" t="str">
        <f>HYPERLINK("https://youtu.be/JqP6gywiw5s","channel 2")</f>
        <v>channel 2</v>
      </c>
    </row>
    <row r="83">
      <c r="A83" s="7"/>
      <c r="B83" s="28" t="s">
        <v>1097</v>
      </c>
      <c r="C83" s="12" t="s">
        <v>1100</v>
      </c>
      <c r="D83" s="28" t="s">
        <v>1098</v>
      </c>
      <c r="E83" s="36" t="str">
        <f>HYPERLINK("https://youtu.be/72OpRF_Qf7Y","channel 1")</f>
        <v>channel 1</v>
      </c>
    </row>
    <row r="84">
      <c r="A84" s="7"/>
      <c r="B84" s="28" t="s">
        <v>242</v>
      </c>
      <c r="C84" s="12" t="s">
        <v>18</v>
      </c>
      <c r="D84" s="28" t="s">
        <v>1096</v>
      </c>
      <c r="E84" s="13" t="str">
        <f>HYPERLINK("https://youtu.be/-GYnLCqDU1s","channel 2")</f>
        <v>channel 2</v>
      </c>
    </row>
    <row r="85">
      <c r="A85" s="7"/>
      <c r="B85" s="28" t="s">
        <v>720</v>
      </c>
      <c r="C85" s="12" t="s">
        <v>47</v>
      </c>
      <c r="D85" s="28" t="s">
        <v>1098</v>
      </c>
      <c r="E85" s="36" t="str">
        <f>HYPERLINK("https://youtu.be/y3aH8JGOOI0","channel 1")</f>
        <v>channel 1</v>
      </c>
    </row>
    <row r="86">
      <c r="A86" s="7"/>
      <c r="B86" s="28" t="s">
        <v>242</v>
      </c>
      <c r="C86" s="12" t="s">
        <v>42</v>
      </c>
      <c r="D86" s="28" t="s">
        <v>1097</v>
      </c>
      <c r="E86" s="13" t="str">
        <f>HYPERLINK("https://youtu.be/IUHjLLpVDy0","channel 2")</f>
        <v>channel 2</v>
      </c>
    </row>
    <row r="87">
      <c r="A87" s="7"/>
      <c r="B87" s="28" t="s">
        <v>1096</v>
      </c>
      <c r="C87" s="12" t="s">
        <v>418</v>
      </c>
      <c r="D87" s="28" t="s">
        <v>1098</v>
      </c>
      <c r="E87" s="36" t="str">
        <f>HYPERLINK("https://youtu.be/e1I9y3nB7d4","channel 1")</f>
        <v>channel 1</v>
      </c>
    </row>
    <row r="88">
      <c r="A88" s="25"/>
      <c r="B88" s="28" t="s">
        <v>720</v>
      </c>
      <c r="C88" s="12" t="s">
        <v>85</v>
      </c>
      <c r="D88" s="28" t="s">
        <v>1097</v>
      </c>
      <c r="E88" s="13" t="str">
        <f>HYPERLINK("https://youtu.be/g1KPX_tdLls","channel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2" t="s">
        <v>531</v>
      </c>
      <c r="C1" s="3"/>
      <c r="D1" s="4"/>
      <c r="E1" s="35"/>
    </row>
    <row r="2">
      <c r="A2" s="7"/>
      <c r="B2" s="18" t="s">
        <v>3</v>
      </c>
      <c r="C2" s="18" t="s">
        <v>4</v>
      </c>
      <c r="D2" s="18" t="s">
        <v>5</v>
      </c>
      <c r="E2" s="9" t="s">
        <v>6</v>
      </c>
    </row>
    <row r="3">
      <c r="A3" s="7"/>
      <c r="B3" s="28" t="s">
        <v>605</v>
      </c>
      <c r="C3" s="12" t="s">
        <v>168</v>
      </c>
      <c r="D3" s="28" t="s">
        <v>253</v>
      </c>
      <c r="E3" s="36" t="str">
        <f>HYPERLINK("https://youtu.be/Eb3xLGu7KHc","channel 1")</f>
        <v>channel 1</v>
      </c>
    </row>
    <row r="4">
      <c r="A4" s="7"/>
      <c r="B4" s="28" t="s">
        <v>81</v>
      </c>
      <c r="C4" s="12" t="s">
        <v>124</v>
      </c>
      <c r="D4" s="28" t="s">
        <v>488</v>
      </c>
      <c r="E4" s="13" t="str">
        <f>HYPERLINK("https://youtu.be/zFDijpJbuQg","channel 2")</f>
        <v>channel 2</v>
      </c>
    </row>
    <row r="5">
      <c r="A5" s="7"/>
      <c r="B5" s="28" t="s">
        <v>808</v>
      </c>
      <c r="C5" s="12" t="s">
        <v>103</v>
      </c>
      <c r="D5" s="28" t="s">
        <v>605</v>
      </c>
      <c r="E5" s="54" t="str">
        <f>HYPERLINK("https://youtu.be/dxPSYdx4Slw","channel 1")</f>
        <v>channel 1</v>
      </c>
    </row>
    <row r="6">
      <c r="A6" s="7"/>
      <c r="B6" s="28" t="s">
        <v>81</v>
      </c>
      <c r="C6" s="12" t="s">
        <v>85</v>
      </c>
      <c r="D6" s="28" t="s">
        <v>253</v>
      </c>
      <c r="E6" s="13" t="str">
        <f>HYPERLINK("https://youtu.be/T8YE8TYhd4Y","channel 2")</f>
        <v>channel 2</v>
      </c>
    </row>
    <row r="7">
      <c r="A7" s="7"/>
      <c r="B7" s="28" t="s">
        <v>808</v>
      </c>
      <c r="C7" s="12" t="s">
        <v>224</v>
      </c>
      <c r="D7" s="28" t="s">
        <v>488</v>
      </c>
      <c r="E7" s="36" t="str">
        <f>HYPERLINK("https://youtu.be/inbyx4FL3Gc","channel 1")</f>
        <v>channel 1</v>
      </c>
    </row>
    <row r="8">
      <c r="A8" s="7"/>
      <c r="B8" s="28" t="s">
        <v>81</v>
      </c>
      <c r="C8" s="12" t="s">
        <v>10</v>
      </c>
      <c r="D8" s="28" t="s">
        <v>605</v>
      </c>
      <c r="E8" s="13" t="str">
        <f>HYPERLINK("https://youtu.be/sOoBYA8hlik","channel 2")</f>
        <v>channel 2</v>
      </c>
    </row>
    <row r="9">
      <c r="A9" s="7"/>
      <c r="B9" s="28" t="s">
        <v>808</v>
      </c>
      <c r="C9" s="12" t="s">
        <v>180</v>
      </c>
      <c r="D9" s="28" t="s">
        <v>253</v>
      </c>
      <c r="E9" s="54" t="str">
        <f>HYPERLINK("https://youtu.be/hlfGMJUSqbU","channel 1")</f>
        <v>channel 1</v>
      </c>
    </row>
    <row r="10">
      <c r="A10" s="7"/>
      <c r="B10" s="28" t="s">
        <v>488</v>
      </c>
      <c r="C10" s="12" t="s">
        <v>117</v>
      </c>
      <c r="D10" s="28" t="s">
        <v>605</v>
      </c>
      <c r="E10" s="13" t="str">
        <f>HYPERLINK("https://youtu.be/n-LiT0AL3Yw","channel 2")</f>
        <v>channel 2</v>
      </c>
    </row>
    <row r="11">
      <c r="A11" s="7"/>
      <c r="B11" s="28" t="s">
        <v>808</v>
      </c>
      <c r="C11" s="12" t="s">
        <v>90</v>
      </c>
      <c r="D11" s="28" t="s">
        <v>81</v>
      </c>
      <c r="E11" s="36" t="str">
        <f>HYPERLINK("https://youtu.be/3xMobFjmhbI","channel 1")</f>
        <v>channel 1</v>
      </c>
    </row>
    <row r="12">
      <c r="A12" s="7"/>
      <c r="B12" s="28" t="s">
        <v>488</v>
      </c>
      <c r="C12" s="12" t="s">
        <v>10</v>
      </c>
      <c r="D12" s="28" t="s">
        <v>253</v>
      </c>
      <c r="E12" s="13" t="str">
        <f>HYPERLINK("https://youtu.be/LwBI8MXS0PY","channel 2")</f>
        <v>channel 2</v>
      </c>
    </row>
    <row r="13">
      <c r="A13" s="7"/>
      <c r="B13" s="28" t="s">
        <v>253</v>
      </c>
      <c r="C13" s="12" t="s">
        <v>749</v>
      </c>
      <c r="D13" s="28" t="s">
        <v>605</v>
      </c>
      <c r="E13" s="54" t="str">
        <f>HYPERLINK("https://youtu.be/55UbqimGty8","channel 1")</f>
        <v>channel 1</v>
      </c>
    </row>
    <row r="14">
      <c r="A14" s="7"/>
      <c r="B14" s="28" t="s">
        <v>488</v>
      </c>
      <c r="C14" s="12" t="s">
        <v>156</v>
      </c>
      <c r="D14" s="28" t="s">
        <v>81</v>
      </c>
      <c r="E14" s="13" t="str">
        <f>HYPERLINK("https://youtu.be/5d2r3f9kikI","channel 2")</f>
        <v>channel 2</v>
      </c>
    </row>
    <row r="15">
      <c r="A15" s="7"/>
      <c r="B15" s="28" t="s">
        <v>605</v>
      </c>
      <c r="C15" s="12" t="s">
        <v>232</v>
      </c>
      <c r="D15" s="28" t="s">
        <v>808</v>
      </c>
      <c r="E15" s="36" t="str">
        <f>HYPERLINK("https://youtu.be/3IHC2C0-cK8","channel 1")</f>
        <v>channel 1</v>
      </c>
    </row>
    <row r="16">
      <c r="A16" s="7"/>
      <c r="B16" s="28" t="s">
        <v>253</v>
      </c>
      <c r="C16" s="12" t="s">
        <v>109</v>
      </c>
      <c r="D16" s="28" t="s">
        <v>81</v>
      </c>
      <c r="E16" s="13" t="str">
        <f>HYPERLINK("https://youtu.be/GLUTCxnhDzw","channel 2")</f>
        <v>channel 2</v>
      </c>
    </row>
    <row r="17">
      <c r="A17" s="7"/>
      <c r="B17" s="28" t="s">
        <v>488</v>
      </c>
      <c r="C17" s="12" t="s">
        <v>56</v>
      </c>
      <c r="D17" s="28" t="s">
        <v>808</v>
      </c>
      <c r="E17" s="54" t="str">
        <f>HYPERLINK("https://youtu.be/EqWavO2hEbg","channel 1")</f>
        <v>channel 1</v>
      </c>
    </row>
    <row r="18">
      <c r="A18" s="7"/>
      <c r="B18" s="28" t="s">
        <v>605</v>
      </c>
      <c r="C18" s="12" t="s">
        <v>458</v>
      </c>
      <c r="D18" s="28" t="s">
        <v>81</v>
      </c>
      <c r="E18" s="13" t="str">
        <f>HYPERLINK("https://youtu.be/3bdiqQQjYd0","channel 2")</f>
        <v>channel 2</v>
      </c>
    </row>
    <row r="19">
      <c r="A19" s="7"/>
      <c r="B19" s="28" t="s">
        <v>253</v>
      </c>
      <c r="C19" s="12" t="s">
        <v>322</v>
      </c>
      <c r="D19" s="28" t="s">
        <v>808</v>
      </c>
      <c r="E19" s="36" t="str">
        <f>HYPERLINK("https://youtu.be/pzLxX2VL8Ls","channel 1")</f>
        <v>channel 1</v>
      </c>
    </row>
    <row r="20">
      <c r="A20" s="7"/>
      <c r="B20" s="28" t="s">
        <v>605</v>
      </c>
      <c r="C20" s="12" t="s">
        <v>304</v>
      </c>
      <c r="D20" s="28" t="s">
        <v>488</v>
      </c>
      <c r="E20" s="13" t="str">
        <f>HYPERLINK("https://youtu.be/3IOqGSmER10","channel 2")</f>
        <v>channel 2</v>
      </c>
    </row>
    <row r="21">
      <c r="A21" s="7"/>
      <c r="B21" s="28" t="s">
        <v>81</v>
      </c>
      <c r="C21" s="12" t="s">
        <v>232</v>
      </c>
      <c r="D21" s="28" t="s">
        <v>808</v>
      </c>
      <c r="E21" s="54" t="str">
        <f>HYPERLINK("https://youtu.be/Hwq_uEuLudU","channel 1")</f>
        <v>channel 1</v>
      </c>
    </row>
    <row r="22">
      <c r="A22" s="7"/>
      <c r="B22" s="28" t="s">
        <v>253</v>
      </c>
      <c r="C22" s="12" t="s">
        <v>477</v>
      </c>
      <c r="D22" s="28" t="s">
        <v>488</v>
      </c>
      <c r="E22" s="13" t="str">
        <f>HYPERLINK("https://youtu.be/repCSTdhi60","channel 2")</f>
        <v>channel 2</v>
      </c>
    </row>
    <row r="23">
      <c r="A23" s="7"/>
      <c r="B23" s="2" t="s">
        <v>329</v>
      </c>
      <c r="C23" s="3"/>
      <c r="D23" s="4"/>
      <c r="E23" s="35"/>
    </row>
    <row r="24">
      <c r="A24" s="7"/>
      <c r="B24" s="18" t="s">
        <v>3</v>
      </c>
      <c r="C24" s="18" t="s">
        <v>4</v>
      </c>
      <c r="D24" s="18" t="s">
        <v>5</v>
      </c>
      <c r="E24" s="9" t="s">
        <v>6</v>
      </c>
    </row>
    <row r="25">
      <c r="A25" s="7"/>
      <c r="B25" s="28" t="s">
        <v>606</v>
      </c>
      <c r="C25" s="12" t="s">
        <v>365</v>
      </c>
      <c r="D25" s="28" t="s">
        <v>1101</v>
      </c>
      <c r="E25" s="36" t="str">
        <f>HYPERLINK("https://youtu.be/0AzgtYSoqyI","channel 1")</f>
        <v>channel 1</v>
      </c>
    </row>
    <row r="26">
      <c r="A26" s="7"/>
      <c r="B26" s="28" t="s">
        <v>1102</v>
      </c>
      <c r="C26" s="12" t="s">
        <v>37</v>
      </c>
      <c r="D26" s="28" t="s">
        <v>1103</v>
      </c>
      <c r="E26" s="13" t="str">
        <f>HYPERLINK("https://youtu.be/XPxDGOcg8k8","channel 2")</f>
        <v>channel 2</v>
      </c>
    </row>
    <row r="27">
      <c r="A27" s="7"/>
      <c r="B27" s="28" t="s">
        <v>1104</v>
      </c>
      <c r="C27" s="12" t="s">
        <v>237</v>
      </c>
      <c r="D27" s="28" t="s">
        <v>606</v>
      </c>
      <c r="E27" s="54" t="str">
        <f>HYPERLINK("https://youtu.be/vXRbDgp5hZg","channel 1")</f>
        <v>channel 1</v>
      </c>
    </row>
    <row r="28">
      <c r="A28" s="7"/>
      <c r="B28" s="28" t="s">
        <v>1102</v>
      </c>
      <c r="C28" s="12" t="s">
        <v>257</v>
      </c>
      <c r="D28" s="28" t="s">
        <v>1101</v>
      </c>
      <c r="E28" s="13" t="str">
        <f>HYPERLINK("https://youtu.be/WAK4TBHKAR8","channel 2")</f>
        <v>channel 2</v>
      </c>
    </row>
    <row r="29">
      <c r="A29" s="7"/>
      <c r="B29" s="28" t="s">
        <v>1104</v>
      </c>
      <c r="C29" s="12" t="s">
        <v>228</v>
      </c>
      <c r="D29" s="28" t="s">
        <v>1103</v>
      </c>
      <c r="E29" s="36" t="str">
        <f>HYPERLINK("https://youtu.be/UjfBuU2njn0","channel 1")</f>
        <v>channel 1</v>
      </c>
    </row>
    <row r="30">
      <c r="A30" s="7"/>
      <c r="B30" s="28" t="s">
        <v>1102</v>
      </c>
      <c r="C30" s="12" t="s">
        <v>148</v>
      </c>
      <c r="D30" s="28" t="s">
        <v>606</v>
      </c>
      <c r="E30" s="13" t="str">
        <f>HYPERLINK("https://youtu.be/YRZyWDwqbkQ","channel 2")</f>
        <v>channel 2</v>
      </c>
    </row>
    <row r="31">
      <c r="A31" s="7"/>
      <c r="B31" s="28" t="s">
        <v>1104</v>
      </c>
      <c r="C31" s="12" t="s">
        <v>10</v>
      </c>
      <c r="D31" s="28" t="s">
        <v>1101</v>
      </c>
      <c r="E31" s="54" t="str">
        <f>HYPERLINK("https://youtu.be/yITs3NwWavM","channel 1")</f>
        <v>channel 1</v>
      </c>
    </row>
    <row r="32">
      <c r="A32" s="7"/>
      <c r="B32" s="28" t="s">
        <v>1103</v>
      </c>
      <c r="C32" s="12" t="s">
        <v>55</v>
      </c>
      <c r="D32" s="28" t="s">
        <v>606</v>
      </c>
      <c r="E32" s="13" t="str">
        <f>HYPERLINK("https://youtu.be/6v-S5VJyys0","channel 2")</f>
        <v>channel 2</v>
      </c>
    </row>
    <row r="33">
      <c r="A33" s="7"/>
      <c r="B33" s="28" t="s">
        <v>1104</v>
      </c>
      <c r="C33" s="12" t="s">
        <v>212</v>
      </c>
      <c r="D33" s="28" t="s">
        <v>1102</v>
      </c>
      <c r="E33" s="36" t="str">
        <f>HYPERLINK("https://youtu.be/vofsrwrYFSQ","channel 1")</f>
        <v>channel 1</v>
      </c>
    </row>
    <row r="34">
      <c r="A34" s="7"/>
      <c r="B34" s="28" t="s">
        <v>1103</v>
      </c>
      <c r="C34" s="12" t="s">
        <v>871</v>
      </c>
      <c r="D34" s="28" t="s">
        <v>1101</v>
      </c>
      <c r="E34" s="13" t="str">
        <f>HYPERLINK("https://youtu.be/WcbNmzLMlPY","channel 2")</f>
        <v>channel 2</v>
      </c>
    </row>
    <row r="35">
      <c r="A35" s="7"/>
      <c r="B35" s="28" t="s">
        <v>1101</v>
      </c>
      <c r="C35" s="12" t="s">
        <v>30</v>
      </c>
      <c r="D35" s="28" t="s">
        <v>606</v>
      </c>
      <c r="E35" s="54" t="str">
        <f>HYPERLINK("https://youtu.be/-ehbp0J1YNo","channel 1")</f>
        <v>channel 1</v>
      </c>
    </row>
    <row r="36">
      <c r="A36" s="7"/>
      <c r="B36" s="28" t="s">
        <v>1103</v>
      </c>
      <c r="C36" s="12" t="s">
        <v>47</v>
      </c>
      <c r="D36" s="28" t="s">
        <v>1102</v>
      </c>
      <c r="E36" s="13" t="str">
        <f>HYPERLINK("https://youtu.be/LLat60KODEk","channel 2")</f>
        <v>channel 2</v>
      </c>
    </row>
    <row r="37">
      <c r="A37" s="7"/>
      <c r="B37" s="28" t="s">
        <v>606</v>
      </c>
      <c r="C37" s="12" t="s">
        <v>598</v>
      </c>
      <c r="D37" s="28" t="s">
        <v>1104</v>
      </c>
      <c r="E37" s="36" t="str">
        <f>HYPERLINK("https://youtu.be/nlAVhaFzp5s","channel 1")</f>
        <v>channel 1</v>
      </c>
    </row>
    <row r="38">
      <c r="A38" s="7"/>
      <c r="B38" s="28" t="s">
        <v>1101</v>
      </c>
      <c r="C38" s="12" t="s">
        <v>30</v>
      </c>
      <c r="D38" s="28" t="s">
        <v>1102</v>
      </c>
      <c r="E38" s="13" t="str">
        <f>HYPERLINK("https://youtu.be/8kiskZyKcfQ","channel 2")</f>
        <v>channel 2</v>
      </c>
    </row>
    <row r="39">
      <c r="A39" s="7"/>
      <c r="B39" s="28" t="s">
        <v>1103</v>
      </c>
      <c r="C39" s="18" t="s">
        <v>707</v>
      </c>
      <c r="D39" s="28" t="s">
        <v>1104</v>
      </c>
      <c r="E39" s="54" t="str">
        <f>HYPERLINK("https://youtu.be/5RT6G9c167A","channel 1")</f>
        <v>channel 1</v>
      </c>
    </row>
    <row r="40">
      <c r="A40" s="7"/>
      <c r="B40" s="28" t="s">
        <v>606</v>
      </c>
      <c r="C40" s="12" t="s">
        <v>228</v>
      </c>
      <c r="D40" s="28" t="s">
        <v>1102</v>
      </c>
      <c r="E40" s="13" t="str">
        <f>HYPERLINK("https://youtu.be/HBnNFGsm7QQ","channel 2")</f>
        <v>channel 2</v>
      </c>
    </row>
    <row r="41">
      <c r="A41" s="7"/>
      <c r="B41" s="28" t="s">
        <v>1101</v>
      </c>
      <c r="C41" s="12" t="s">
        <v>93</v>
      </c>
      <c r="D41" s="28" t="s">
        <v>1104</v>
      </c>
      <c r="E41" s="36" t="str">
        <f>HYPERLINK("https://youtu.be/5-zdldYPotE","channel 1")</f>
        <v>channel 1</v>
      </c>
    </row>
    <row r="42">
      <c r="A42" s="7"/>
      <c r="B42" s="28" t="s">
        <v>606</v>
      </c>
      <c r="C42" s="12" t="s">
        <v>494</v>
      </c>
      <c r="D42" s="28" t="s">
        <v>1103</v>
      </c>
      <c r="E42" s="13" t="str">
        <f>HYPERLINK("https://youtu.be/OsG3aB8IlLA","channel 2")</f>
        <v>channel 2</v>
      </c>
    </row>
    <row r="43">
      <c r="A43" s="7"/>
      <c r="B43" s="28" t="s">
        <v>1102</v>
      </c>
      <c r="C43" s="12" t="s">
        <v>135</v>
      </c>
      <c r="D43" s="28" t="s">
        <v>1104</v>
      </c>
      <c r="E43" s="54" t="str">
        <f>HYPERLINK("https://youtu.be/yJ8zNmrk6qQ","channel 1")</f>
        <v>channel 1</v>
      </c>
    </row>
    <row r="44">
      <c r="A44" s="7"/>
      <c r="B44" s="28" t="s">
        <v>1101</v>
      </c>
      <c r="C44" s="12" t="s">
        <v>32</v>
      </c>
      <c r="D44" s="28" t="s">
        <v>1103</v>
      </c>
      <c r="E44" s="13" t="str">
        <f>HYPERLINK("https://youtu.be/mX7YnrM-qEU","channel 2")</f>
        <v>channel 2</v>
      </c>
    </row>
    <row r="45">
      <c r="A45" s="7"/>
      <c r="B45" s="2" t="s">
        <v>202</v>
      </c>
      <c r="C45" s="3"/>
      <c r="D45" s="4"/>
      <c r="E45" s="35"/>
    </row>
    <row r="46">
      <c r="A46" s="7"/>
      <c r="B46" s="18" t="s">
        <v>3</v>
      </c>
      <c r="C46" s="18" t="s">
        <v>4</v>
      </c>
      <c r="D46" s="18" t="s">
        <v>5</v>
      </c>
      <c r="E46" s="9" t="s">
        <v>6</v>
      </c>
    </row>
    <row r="47">
      <c r="A47" s="7"/>
      <c r="B47" s="28" t="s">
        <v>1105</v>
      </c>
      <c r="C47" s="12" t="s">
        <v>109</v>
      </c>
      <c r="D47" s="28" t="s">
        <v>1106</v>
      </c>
      <c r="E47" s="36" t="str">
        <f>HYPERLINK("https://youtu.be/E05zQcbDHhs","channel 1")</f>
        <v>channel 1</v>
      </c>
    </row>
    <row r="48">
      <c r="A48" s="7"/>
      <c r="B48" s="28" t="s">
        <v>354</v>
      </c>
      <c r="C48" s="12" t="s">
        <v>34</v>
      </c>
      <c r="D48" s="28" t="s">
        <v>798</v>
      </c>
      <c r="E48" s="13" t="str">
        <f>HYPERLINK("https://youtu.be/WJSOKNVtt74","channel 2")</f>
        <v>channel 2</v>
      </c>
    </row>
    <row r="49">
      <c r="A49" s="7"/>
      <c r="B49" s="28" t="s">
        <v>1107</v>
      </c>
      <c r="C49" s="12" t="s">
        <v>108</v>
      </c>
      <c r="D49" s="28" t="s">
        <v>1105</v>
      </c>
      <c r="E49" s="54" t="str">
        <f>HYPERLINK("https://youtu.be/zu-eStCsM5U","channel 1")</f>
        <v>channel 1</v>
      </c>
    </row>
    <row r="50">
      <c r="A50" s="7"/>
      <c r="B50" s="28" t="s">
        <v>354</v>
      </c>
      <c r="C50" s="12" t="s">
        <v>30</v>
      </c>
      <c r="D50" s="28" t="s">
        <v>1106</v>
      </c>
      <c r="E50" s="13" t="str">
        <f>HYPERLINK("https://youtu.be/rcLm1iiWJaM","channel 2")</f>
        <v>channel 2</v>
      </c>
    </row>
    <row r="51">
      <c r="A51" s="7"/>
      <c r="B51" s="28" t="s">
        <v>1107</v>
      </c>
      <c r="C51" s="12" t="s">
        <v>108</v>
      </c>
      <c r="D51" s="28" t="s">
        <v>798</v>
      </c>
      <c r="E51" s="36" t="str">
        <f>HYPERLINK("https://youtu.be/jZTbNAgMwuk","channel 1")</f>
        <v>channel 1</v>
      </c>
    </row>
    <row r="52">
      <c r="A52" s="7"/>
      <c r="B52" s="28" t="s">
        <v>354</v>
      </c>
      <c r="C52" s="12" t="s">
        <v>55</v>
      </c>
      <c r="D52" s="28" t="s">
        <v>1105</v>
      </c>
      <c r="E52" s="13" t="str">
        <f>HYPERLINK("https://youtu.be/Ve5Wqw_gWUQ","channel 2")</f>
        <v>channel 2</v>
      </c>
    </row>
    <row r="53">
      <c r="A53" s="7"/>
      <c r="B53" s="28" t="s">
        <v>1107</v>
      </c>
      <c r="C53" s="12" t="s">
        <v>460</v>
      </c>
      <c r="D53" s="28" t="s">
        <v>1106</v>
      </c>
      <c r="E53" s="54" t="str">
        <f>HYPERLINK("https://youtu.be/4BUn4RFPL8s","channel 1")</f>
        <v>channel 1</v>
      </c>
    </row>
    <row r="54">
      <c r="A54" s="7"/>
      <c r="B54" s="28" t="s">
        <v>798</v>
      </c>
      <c r="C54" s="12" t="s">
        <v>57</v>
      </c>
      <c r="D54" s="28" t="s">
        <v>1105</v>
      </c>
      <c r="E54" s="13" t="str">
        <f>HYPERLINK("https://youtu.be/J9S7mgFsKSc","channel 2")</f>
        <v>channel 2</v>
      </c>
    </row>
    <row r="55">
      <c r="A55" s="7"/>
      <c r="B55" s="28" t="s">
        <v>1107</v>
      </c>
      <c r="C55" s="12" t="s">
        <v>296</v>
      </c>
      <c r="D55" s="28" t="s">
        <v>354</v>
      </c>
      <c r="E55" s="36" t="str">
        <f>HYPERLINK("https://youtu.be/XdTjCOfGCXY","channel 1")</f>
        <v>channel 1</v>
      </c>
    </row>
    <row r="56">
      <c r="A56" s="7"/>
      <c r="B56" s="28" t="s">
        <v>798</v>
      </c>
      <c r="C56" s="12" t="s">
        <v>104</v>
      </c>
      <c r="D56" s="28" t="s">
        <v>1106</v>
      </c>
      <c r="E56" s="13" t="str">
        <f>HYPERLINK("https://youtu.be/pYO4Xeh7Pvg","channel 2")</f>
        <v>channel 2</v>
      </c>
    </row>
    <row r="57">
      <c r="A57" s="7"/>
      <c r="B57" s="28" t="s">
        <v>1106</v>
      </c>
      <c r="C57" s="12" t="s">
        <v>384</v>
      </c>
      <c r="D57" s="28" t="s">
        <v>1105</v>
      </c>
      <c r="E57" s="54" t="str">
        <f>HYPERLINK("https://youtu.be/nRT3PnoGQBU","channel 1")</f>
        <v>channel 1</v>
      </c>
    </row>
    <row r="58">
      <c r="A58" s="7"/>
      <c r="B58" s="28" t="s">
        <v>798</v>
      </c>
      <c r="C58" s="12" t="s">
        <v>992</v>
      </c>
      <c r="D58" s="28" t="s">
        <v>354</v>
      </c>
      <c r="E58" s="13" t="str">
        <f>HYPERLINK("https://youtu.be/XiPIxPzuGL8","channel 2")</f>
        <v>channel 2</v>
      </c>
    </row>
    <row r="59">
      <c r="A59" s="7"/>
      <c r="B59" s="28" t="s">
        <v>1105</v>
      </c>
      <c r="C59" s="12" t="s">
        <v>10</v>
      </c>
      <c r="D59" s="28" t="s">
        <v>1107</v>
      </c>
      <c r="E59" s="36" t="str">
        <f>HYPERLINK("https://youtu.be/L77qvNQtAAg","channel 1")</f>
        <v>channel 1</v>
      </c>
    </row>
    <row r="60">
      <c r="A60" s="7"/>
      <c r="B60" s="28" t="s">
        <v>1106</v>
      </c>
      <c r="C60" s="12" t="s">
        <v>18</v>
      </c>
      <c r="D60" s="28" t="s">
        <v>354</v>
      </c>
      <c r="E60" s="13" t="str">
        <f>HYPERLINK("https://youtu.be/kevLflmemPs","channel 2")</f>
        <v>channel 2</v>
      </c>
    </row>
    <row r="61">
      <c r="A61" s="7"/>
      <c r="B61" s="28" t="s">
        <v>798</v>
      </c>
      <c r="C61" s="12" t="s">
        <v>49</v>
      </c>
      <c r="D61" s="28" t="s">
        <v>1107</v>
      </c>
      <c r="E61" s="54" t="str">
        <f>HYPERLINK("https://youtu.be/Y1RG4P1omhM","channel 1")</f>
        <v>channel 1</v>
      </c>
    </row>
    <row r="62">
      <c r="A62" s="7"/>
      <c r="B62" s="28" t="s">
        <v>1105</v>
      </c>
      <c r="C62" s="18" t="s">
        <v>277</v>
      </c>
      <c r="D62" s="28" t="s">
        <v>354</v>
      </c>
      <c r="E62" s="13" t="str">
        <f>HYPERLINK("https://youtu.be/azxmsKzMW8I","channel 2")</f>
        <v>channel 2</v>
      </c>
    </row>
    <row r="63">
      <c r="A63" s="7"/>
      <c r="B63" s="28" t="s">
        <v>1106</v>
      </c>
      <c r="C63" s="12" t="s">
        <v>1108</v>
      </c>
      <c r="D63" s="28" t="s">
        <v>1107</v>
      </c>
      <c r="E63" s="36" t="str">
        <f>HYPERLINK("https://youtu.be/aFbAN7IxYmg","channel 1")</f>
        <v>channel 1</v>
      </c>
    </row>
    <row r="64">
      <c r="A64" s="7"/>
      <c r="B64" s="28" t="s">
        <v>1105</v>
      </c>
      <c r="C64" s="12" t="s">
        <v>145</v>
      </c>
      <c r="D64" s="28" t="s">
        <v>798</v>
      </c>
      <c r="E64" s="13" t="str">
        <f>HYPERLINK("https://youtu.be/OFlBWVpNPvk","channel 2")</f>
        <v>channel 2</v>
      </c>
    </row>
    <row r="65">
      <c r="A65" s="7"/>
      <c r="B65" s="28" t="s">
        <v>354</v>
      </c>
      <c r="C65" s="12" t="s">
        <v>124</v>
      </c>
      <c r="D65" s="28" t="s">
        <v>1107</v>
      </c>
      <c r="E65" s="54" t="str">
        <f>HYPERLINK("https://youtu.be/JCB3nTWQGI8","channel 1")</f>
        <v>channel 1</v>
      </c>
    </row>
    <row r="66">
      <c r="A66" s="7"/>
      <c r="B66" s="28" t="s">
        <v>1106</v>
      </c>
      <c r="C66" s="12" t="s">
        <v>10</v>
      </c>
      <c r="D66" s="28" t="s">
        <v>798</v>
      </c>
      <c r="E66" s="13" t="str">
        <f>HYPERLINK("https://youtu.be/WQQrxFpB80Q","channel 2")</f>
        <v>channel 2</v>
      </c>
    </row>
    <row r="67">
      <c r="A67" s="7"/>
      <c r="B67" s="2" t="s">
        <v>240</v>
      </c>
      <c r="C67" s="3"/>
      <c r="D67" s="4"/>
      <c r="E67" s="43"/>
    </row>
    <row r="68">
      <c r="A68" s="7"/>
      <c r="B68" s="18" t="s">
        <v>3</v>
      </c>
      <c r="C68" s="18" t="s">
        <v>4</v>
      </c>
      <c r="D68" s="18" t="s">
        <v>5</v>
      </c>
      <c r="E68" s="8" t="s">
        <v>6</v>
      </c>
    </row>
    <row r="69">
      <c r="A69" s="7"/>
      <c r="B69" s="28" t="s">
        <v>1109</v>
      </c>
      <c r="C69" s="12" t="s">
        <v>436</v>
      </c>
      <c r="D69" s="28" t="s">
        <v>1110</v>
      </c>
      <c r="E69" s="36" t="str">
        <f>HYPERLINK("https://youtu.be/PHZyoX7g_aA","channel 1")</f>
        <v>channel 1</v>
      </c>
    </row>
    <row r="70">
      <c r="A70" s="7"/>
      <c r="B70" s="28" t="s">
        <v>369</v>
      </c>
      <c r="C70" s="12" t="s">
        <v>759</v>
      </c>
      <c r="D70" s="28" t="s">
        <v>861</v>
      </c>
      <c r="E70" s="13" t="str">
        <f>HYPERLINK("https://youtu.be/8c2-MaLlrZ0","channel 2")</f>
        <v>channel 2</v>
      </c>
    </row>
    <row r="71">
      <c r="A71" s="7"/>
      <c r="B71" s="28" t="s">
        <v>1111</v>
      </c>
      <c r="C71" s="12" t="s">
        <v>55</v>
      </c>
      <c r="D71" s="28" t="s">
        <v>1109</v>
      </c>
      <c r="E71" s="54" t="str">
        <f>HYPERLINK("https://youtu.be/OHMRqn9FIYk","channel 1")</f>
        <v>channel 1</v>
      </c>
    </row>
    <row r="72">
      <c r="A72" s="7"/>
      <c r="B72" s="28" t="s">
        <v>369</v>
      </c>
      <c r="C72" s="12" t="s">
        <v>268</v>
      </c>
      <c r="D72" s="28" t="s">
        <v>1110</v>
      </c>
      <c r="E72" s="13" t="str">
        <f>HYPERLINK("https://youtu.be/7AKaRNgD0hs","channel 2")</f>
        <v>channel 2</v>
      </c>
    </row>
    <row r="73">
      <c r="A73" s="7"/>
      <c r="B73" s="28" t="s">
        <v>1111</v>
      </c>
      <c r="C73" s="12" t="s">
        <v>55</v>
      </c>
      <c r="D73" s="28" t="s">
        <v>861</v>
      </c>
      <c r="E73" s="36" t="str">
        <f>HYPERLINK("https://youtu.be/C2iiNR7XUaA","channel 1")</f>
        <v>channel 1</v>
      </c>
    </row>
    <row r="74">
      <c r="A74" s="7"/>
      <c r="B74" s="28" t="s">
        <v>369</v>
      </c>
      <c r="C74" s="12" t="s">
        <v>93</v>
      </c>
      <c r="D74" s="28" t="s">
        <v>1109</v>
      </c>
      <c r="E74" s="13" t="str">
        <f>HYPERLINK("https://youtu.be/lfJCKR0t690","channel 2")</f>
        <v>channel 2</v>
      </c>
    </row>
    <row r="75">
      <c r="A75" s="7"/>
      <c r="B75" s="28" t="s">
        <v>1111</v>
      </c>
      <c r="C75" s="12" t="s">
        <v>1112</v>
      </c>
      <c r="D75" s="28" t="s">
        <v>1110</v>
      </c>
      <c r="E75" s="54" t="str">
        <f>HYPERLINK("https://youtu.be/EZdoL16kwx8","channel 1")</f>
        <v>channel 1</v>
      </c>
    </row>
    <row r="76">
      <c r="A76" s="7"/>
      <c r="B76" s="28" t="s">
        <v>861</v>
      </c>
      <c r="C76" s="12" t="s">
        <v>110</v>
      </c>
      <c r="D76" s="28" t="s">
        <v>1109</v>
      </c>
      <c r="E76" s="13" t="str">
        <f>HYPERLINK("https://youtu.be/O7jgxMN3iHw","channel 2")</f>
        <v>channel 2</v>
      </c>
    </row>
    <row r="77">
      <c r="A77" s="7"/>
      <c r="B77" s="28" t="s">
        <v>1111</v>
      </c>
      <c r="C77" s="12" t="s">
        <v>30</v>
      </c>
      <c r="D77" s="28" t="s">
        <v>369</v>
      </c>
      <c r="E77" s="36" t="str">
        <f>HYPERLINK("https://youtu.be/gVXuVDw3Lys","channel 1")</f>
        <v>channel 1</v>
      </c>
    </row>
    <row r="78">
      <c r="A78" s="7"/>
      <c r="B78" s="28" t="s">
        <v>861</v>
      </c>
      <c r="C78" s="12" t="s">
        <v>109</v>
      </c>
      <c r="D78" s="28" t="s">
        <v>1110</v>
      </c>
      <c r="E78" s="13" t="str">
        <f>HYPERLINK("https://youtu.be/hLYI1KCVTEQ","channel 2")</f>
        <v>channel 2</v>
      </c>
    </row>
    <row r="79">
      <c r="A79" s="7"/>
      <c r="B79" s="28" t="s">
        <v>1110</v>
      </c>
      <c r="C79" s="12" t="s">
        <v>156</v>
      </c>
      <c r="D79" s="28" t="s">
        <v>1109</v>
      </c>
      <c r="E79" s="54" t="str">
        <f>HYPERLINK("https://youtu.be/k7IupYWIk-s","channel 1")</f>
        <v>channel 1</v>
      </c>
    </row>
    <row r="80">
      <c r="A80" s="7"/>
      <c r="B80" s="28" t="s">
        <v>861</v>
      </c>
      <c r="C80" s="12" t="s">
        <v>69</v>
      </c>
      <c r="D80" s="28" t="s">
        <v>369</v>
      </c>
      <c r="E80" s="13" t="str">
        <f>HYPERLINK("https://youtu.be/fQOi14Wz1O4","channel 2")</f>
        <v>channel 2</v>
      </c>
    </row>
    <row r="81">
      <c r="A81" s="7"/>
      <c r="B81" s="28" t="s">
        <v>1109</v>
      </c>
      <c r="C81" s="12" t="s">
        <v>49</v>
      </c>
      <c r="D81" s="28" t="s">
        <v>1111</v>
      </c>
      <c r="E81" s="36" t="str">
        <f>HYPERLINK("https://youtu.be/u-Q_BMhN8Ug","channel 1")</f>
        <v>channel 1</v>
      </c>
    </row>
    <row r="82">
      <c r="A82" s="7"/>
      <c r="B82" s="28" t="s">
        <v>1110</v>
      </c>
      <c r="C82" s="12" t="s">
        <v>156</v>
      </c>
      <c r="D82" s="28" t="s">
        <v>369</v>
      </c>
      <c r="E82" s="13" t="str">
        <f>HYPERLINK("https://youtu.be/sSECt23M0x8","channel 2")</f>
        <v>channel 2</v>
      </c>
    </row>
    <row r="83">
      <c r="A83" s="7"/>
      <c r="B83" s="28" t="s">
        <v>861</v>
      </c>
      <c r="C83" s="12" t="s">
        <v>74</v>
      </c>
      <c r="D83" s="28" t="s">
        <v>1111</v>
      </c>
      <c r="E83" s="54" t="str">
        <f>HYPERLINK("https://youtu.be/PO27LMRsr8M","channel 1")</f>
        <v>channel 1</v>
      </c>
    </row>
    <row r="84">
      <c r="A84" s="7"/>
      <c r="B84" s="28" t="s">
        <v>1109</v>
      </c>
      <c r="C84" s="12" t="s">
        <v>522</v>
      </c>
      <c r="D84" s="28" t="s">
        <v>369</v>
      </c>
      <c r="E84" s="13" t="str">
        <f>HYPERLINK("https://youtu.be/EG3AmZx8fTs","channel 2")</f>
        <v>channel 2</v>
      </c>
    </row>
    <row r="85">
      <c r="A85" s="7"/>
      <c r="B85" s="28" t="s">
        <v>1110</v>
      </c>
      <c r="C85" s="12" t="s">
        <v>553</v>
      </c>
      <c r="D85" s="28" t="s">
        <v>1111</v>
      </c>
      <c r="E85" s="36" t="str">
        <f>HYPERLINK("https://youtu.be/mk975sZh0WM","channel 1")</f>
        <v>channel 1</v>
      </c>
    </row>
    <row r="86">
      <c r="A86" s="7"/>
      <c r="B86" s="28" t="s">
        <v>1109</v>
      </c>
      <c r="C86" s="12" t="s">
        <v>108</v>
      </c>
      <c r="D86" s="28" t="s">
        <v>861</v>
      </c>
      <c r="E86" s="13" t="str">
        <f>HYPERLINK("https://youtu.be/Z23CbutlLUw","channel 2")</f>
        <v>channel 2</v>
      </c>
    </row>
    <row r="87">
      <c r="A87" s="7"/>
      <c r="B87" s="28" t="s">
        <v>369</v>
      </c>
      <c r="C87" s="12" t="s">
        <v>180</v>
      </c>
      <c r="D87" s="28" t="s">
        <v>1111</v>
      </c>
      <c r="E87" s="54" t="str">
        <f>HYPERLINK("https://youtu.be/JGQKOaXTCWw","channel 1")</f>
        <v>channel 1</v>
      </c>
    </row>
    <row r="88">
      <c r="A88" s="25"/>
      <c r="B88" s="28" t="s">
        <v>1110</v>
      </c>
      <c r="C88" s="12" t="s">
        <v>887</v>
      </c>
      <c r="D88" s="28" t="s">
        <v>861</v>
      </c>
      <c r="E88" s="13" t="str">
        <f>HYPERLINK("https://youtu.be/nug7XymJ778","channel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299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432</v>
      </c>
      <c r="C3" s="12" t="s">
        <v>61</v>
      </c>
      <c r="D3" s="28" t="s">
        <v>951</v>
      </c>
      <c r="E3" s="36" t="str">
        <f>HYPERLINK("https://youtu.be/ur5ago5ZPEk","channel 1")</f>
        <v>channel 1</v>
      </c>
    </row>
    <row r="4">
      <c r="B4" s="28" t="s">
        <v>403</v>
      </c>
      <c r="C4" s="64" t="s">
        <v>58</v>
      </c>
      <c r="D4" s="28" t="s">
        <v>640</v>
      </c>
      <c r="E4" s="65" t="s">
        <v>28</v>
      </c>
    </row>
    <row r="5">
      <c r="B5" s="28" t="s">
        <v>126</v>
      </c>
      <c r="C5" s="12" t="s">
        <v>30</v>
      </c>
      <c r="D5" s="28" t="s">
        <v>432</v>
      </c>
      <c r="E5" s="36" t="str">
        <f>HYPERLINK("https://youtu.be/XLHKJnBEQSk","channel 1")</f>
        <v>channel 1</v>
      </c>
    </row>
    <row r="6">
      <c r="B6" s="28" t="s">
        <v>403</v>
      </c>
      <c r="C6" s="64" t="s">
        <v>58</v>
      </c>
      <c r="D6" s="28" t="s">
        <v>951</v>
      </c>
      <c r="E6" s="65" t="s">
        <v>28</v>
      </c>
    </row>
    <row r="7">
      <c r="B7" s="28" t="s">
        <v>126</v>
      </c>
      <c r="C7" s="12" t="s">
        <v>108</v>
      </c>
      <c r="D7" s="28" t="s">
        <v>640</v>
      </c>
      <c r="E7" s="36" t="str">
        <f>HYPERLINK("https://youtu.be/NV9gq_q4p7c","channel 1")</f>
        <v>channel 1</v>
      </c>
    </row>
    <row r="8">
      <c r="B8" s="28" t="s">
        <v>403</v>
      </c>
      <c r="C8" s="64" t="s">
        <v>58</v>
      </c>
      <c r="D8" s="28" t="s">
        <v>432</v>
      </c>
      <c r="E8" s="65" t="s">
        <v>28</v>
      </c>
    </row>
    <row r="9">
      <c r="B9" s="28" t="s">
        <v>126</v>
      </c>
      <c r="C9" s="12" t="s">
        <v>337</v>
      </c>
      <c r="D9" s="28" t="s">
        <v>951</v>
      </c>
      <c r="E9" s="36" t="str">
        <f>HYPERLINK("https://youtu.be/4dYv9t_WvVU","channel 1")</f>
        <v>channel 1</v>
      </c>
    </row>
    <row r="10">
      <c r="B10" s="28" t="s">
        <v>640</v>
      </c>
      <c r="C10" s="12" t="s">
        <v>232</v>
      </c>
      <c r="D10" s="28" t="s">
        <v>432</v>
      </c>
      <c r="E10" s="66" t="str">
        <f>HYPERLINK("https://youtu.be/tvr3KFDaNHw","channel 2")</f>
        <v>channel 2</v>
      </c>
    </row>
    <row r="11">
      <c r="B11" s="28" t="s">
        <v>126</v>
      </c>
      <c r="C11" s="64" t="s">
        <v>58</v>
      </c>
      <c r="D11" s="28" t="s">
        <v>403</v>
      </c>
      <c r="E11" s="50" t="s">
        <v>26</v>
      </c>
    </row>
    <row r="12">
      <c r="B12" s="28" t="s">
        <v>640</v>
      </c>
      <c r="C12" s="12" t="s">
        <v>538</v>
      </c>
      <c r="D12" s="28" t="s">
        <v>951</v>
      </c>
      <c r="E12" s="66" t="str">
        <f>HYPERLINK("https://youtu.be/8aTKp9Xu1Ls","channel 2")</f>
        <v>channel 2</v>
      </c>
    </row>
    <row r="13">
      <c r="B13" s="28" t="s">
        <v>951</v>
      </c>
      <c r="C13" s="12" t="s">
        <v>143</v>
      </c>
      <c r="D13" s="28" t="s">
        <v>432</v>
      </c>
      <c r="E13" s="36" t="str">
        <f>HYPERLINK("https://youtu.be/5y385hRb8dU","channel 1")</f>
        <v>channel 1</v>
      </c>
    </row>
    <row r="14">
      <c r="B14" s="28" t="s">
        <v>640</v>
      </c>
      <c r="C14" s="64" t="s">
        <v>58</v>
      </c>
      <c r="D14" s="28" t="s">
        <v>403</v>
      </c>
      <c r="E14" s="65" t="s">
        <v>28</v>
      </c>
    </row>
    <row r="15">
      <c r="B15" s="28" t="s">
        <v>432</v>
      </c>
      <c r="C15" s="12" t="s">
        <v>311</v>
      </c>
      <c r="D15" s="28" t="s">
        <v>126</v>
      </c>
      <c r="E15" s="36" t="str">
        <f>HYPERLINK("https://youtu.be/oJSpEnPWEjU","channel 1")</f>
        <v>channel 1</v>
      </c>
    </row>
    <row r="16">
      <c r="B16" s="28" t="s">
        <v>951</v>
      </c>
      <c r="C16" s="64" t="s">
        <v>58</v>
      </c>
      <c r="D16" s="28" t="s">
        <v>403</v>
      </c>
      <c r="E16" s="65" t="s">
        <v>28</v>
      </c>
    </row>
    <row r="17">
      <c r="B17" s="28" t="s">
        <v>640</v>
      </c>
      <c r="C17" s="12" t="s">
        <v>24</v>
      </c>
      <c r="D17" s="28" t="s">
        <v>126</v>
      </c>
      <c r="E17" s="36" t="str">
        <f>HYPERLINK("https://youtu.be/0_p9s51irVA","channel 1")</f>
        <v>channel 1</v>
      </c>
    </row>
    <row r="18">
      <c r="B18" s="28" t="s">
        <v>432</v>
      </c>
      <c r="C18" s="64" t="s">
        <v>58</v>
      </c>
      <c r="D18" s="28" t="s">
        <v>403</v>
      </c>
      <c r="E18" s="65" t="s">
        <v>28</v>
      </c>
    </row>
    <row r="19">
      <c r="B19" s="28" t="s">
        <v>951</v>
      </c>
      <c r="C19" s="12" t="s">
        <v>124</v>
      </c>
      <c r="D19" s="28" t="s">
        <v>126</v>
      </c>
      <c r="E19" s="36" t="str">
        <f>HYPERLINK("https://www.youtube.com/watch?v=kFTJ_Js7n8Y","channel 1")</f>
        <v>channel 1</v>
      </c>
    </row>
    <row r="20">
      <c r="B20" s="28" t="s">
        <v>432</v>
      </c>
      <c r="C20" s="12" t="s">
        <v>34</v>
      </c>
      <c r="D20" s="28" t="s">
        <v>640</v>
      </c>
      <c r="E20" s="66" t="str">
        <f>HYPERLINK("https://youtu.be/V3XE-JgnKjo","channel 2")</f>
        <v>channel 2</v>
      </c>
    </row>
    <row r="21">
      <c r="B21" s="28" t="s">
        <v>403</v>
      </c>
      <c r="C21" s="64" t="s">
        <v>58</v>
      </c>
      <c r="D21" s="28" t="s">
        <v>126</v>
      </c>
      <c r="E21" s="50" t="s">
        <v>26</v>
      </c>
    </row>
    <row r="22">
      <c r="B22" s="28" t="s">
        <v>951</v>
      </c>
      <c r="C22" s="12" t="s">
        <v>180</v>
      </c>
      <c r="D22" s="28" t="s">
        <v>640</v>
      </c>
      <c r="E22" s="66" t="str">
        <f>HYPERLINK("https://youtu.be/yWlPl9w7vnI","channel 2")</f>
        <v>channel 2</v>
      </c>
    </row>
    <row r="23">
      <c r="B23" s="58" t="s">
        <v>1118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174</v>
      </c>
      <c r="C25" s="12" t="s">
        <v>214</v>
      </c>
      <c r="D25" s="28" t="s">
        <v>1076</v>
      </c>
      <c r="E25" s="36" t="str">
        <f>HYPERLINK("https://youtu.be/Kj0-hfaWCbI","channel 1")</f>
        <v>channel 1</v>
      </c>
    </row>
    <row r="26">
      <c r="B26" s="28" t="s">
        <v>853</v>
      </c>
      <c r="C26" s="12" t="s">
        <v>180</v>
      </c>
      <c r="D26" s="28" t="s">
        <v>1120</v>
      </c>
      <c r="E26" s="66" t="str">
        <f>HYPERLINK("https://youtu.be/KDprXAbu9UE","channel 2")</f>
        <v>channel 2</v>
      </c>
    </row>
    <row r="27">
      <c r="B27" s="28" t="s">
        <v>1121</v>
      </c>
      <c r="C27" s="12" t="s">
        <v>93</v>
      </c>
      <c r="D27" s="28" t="s">
        <v>174</v>
      </c>
      <c r="E27" s="36" t="str">
        <f>HYPERLINK("https://youtu.be/S3N8KDLY_qc","channel 1")</f>
        <v>channel 1</v>
      </c>
    </row>
    <row r="28">
      <c r="B28" s="28" t="s">
        <v>853</v>
      </c>
      <c r="C28" s="12" t="s">
        <v>37</v>
      </c>
      <c r="D28" s="28" t="s">
        <v>1076</v>
      </c>
      <c r="E28" s="66" t="str">
        <f>HYPERLINK("https://youtu.be/p20YvOE7xRI","channel 2")</f>
        <v>channel 2</v>
      </c>
    </row>
    <row r="29">
      <c r="B29" s="28" t="s">
        <v>1121</v>
      </c>
      <c r="C29" s="12" t="s">
        <v>296</v>
      </c>
      <c r="D29" s="28" t="s">
        <v>1120</v>
      </c>
      <c r="E29" s="36" t="str">
        <f>HYPERLINK("https://youtu.be/9KBULKAiGCY","channel 1")</f>
        <v>channel 1</v>
      </c>
    </row>
    <row r="30">
      <c r="B30" s="28" t="s">
        <v>853</v>
      </c>
      <c r="C30" s="12" t="s">
        <v>538</v>
      </c>
      <c r="D30" s="28" t="s">
        <v>174</v>
      </c>
      <c r="E30" s="66" t="str">
        <f>HYPERLINK("https://youtu.be/ZNCzPMK7emQ","channel 2")</f>
        <v>channel 2</v>
      </c>
    </row>
    <row r="31">
      <c r="B31" s="28" t="s">
        <v>1121</v>
      </c>
      <c r="C31" s="12" t="s">
        <v>30</v>
      </c>
      <c r="D31" s="28" t="s">
        <v>1076</v>
      </c>
      <c r="E31" s="36" t="str">
        <f>HYPERLINK("https://youtu.be/ACbPOEvfpSs","channel 1")</f>
        <v>channel 1</v>
      </c>
    </row>
    <row r="32">
      <c r="B32" s="28" t="s">
        <v>1120</v>
      </c>
      <c r="C32" s="12" t="s">
        <v>226</v>
      </c>
      <c r="D32" s="28" t="s">
        <v>174</v>
      </c>
      <c r="E32" s="66" t="str">
        <f>HYPERLINK("https://youtu.be/awVlb8jCHbw","channel 2")</f>
        <v>channel 2</v>
      </c>
    </row>
    <row r="33">
      <c r="B33" s="28" t="s">
        <v>1121</v>
      </c>
      <c r="C33" s="12" t="s">
        <v>1123</v>
      </c>
      <c r="D33" s="28" t="s">
        <v>853</v>
      </c>
      <c r="E33" s="36" t="str">
        <f>HYPERLINK("https://youtu.be/g1J6lt9v7Lk","channel 1")</f>
        <v>channel 1</v>
      </c>
    </row>
    <row r="34">
      <c r="B34" s="28" t="s">
        <v>1120</v>
      </c>
      <c r="C34" s="12" t="s">
        <v>138</v>
      </c>
      <c r="D34" s="28" t="s">
        <v>1076</v>
      </c>
      <c r="E34" s="66" t="str">
        <f>HYPERLINK("https://youtu.be/5uguTrnGGaw","channel 2")</f>
        <v>channel 2</v>
      </c>
    </row>
    <row r="35">
      <c r="B35" s="28" t="s">
        <v>1076</v>
      </c>
      <c r="C35" s="12" t="s">
        <v>337</v>
      </c>
      <c r="D35" s="28" t="s">
        <v>174</v>
      </c>
      <c r="E35" s="36" t="str">
        <f>HYPERLINK("https://youtu.be/m6TKW1WQlAk","channel 1")</f>
        <v>channel 1</v>
      </c>
    </row>
    <row r="36">
      <c r="B36" s="28" t="s">
        <v>1120</v>
      </c>
      <c r="C36" s="12" t="s">
        <v>59</v>
      </c>
      <c r="D36" s="28" t="s">
        <v>853</v>
      </c>
      <c r="E36" s="66" t="str">
        <f>HYPERLINK("https://youtu.be/u-AI3_SzCXc","channel 2")</f>
        <v>channel 2</v>
      </c>
    </row>
    <row r="37">
      <c r="B37" s="28" t="s">
        <v>174</v>
      </c>
      <c r="C37" s="12" t="s">
        <v>210</v>
      </c>
      <c r="D37" s="28" t="s">
        <v>1121</v>
      </c>
      <c r="E37" s="36" t="str">
        <f>HYPERLINK("https://youtu.be/sRFj9lZ-_n8","channel 1")</f>
        <v>channel 1</v>
      </c>
    </row>
    <row r="38">
      <c r="B38" s="28" t="s">
        <v>1076</v>
      </c>
      <c r="C38" s="12" t="s">
        <v>358</v>
      </c>
      <c r="D38" s="28" t="s">
        <v>853</v>
      </c>
      <c r="E38" s="66" t="str">
        <f>HYPERLINK("https://youtu.be/W8eOiBfBa2w","channel 2")</f>
        <v>channel 2</v>
      </c>
    </row>
    <row r="39">
      <c r="B39" s="28" t="s">
        <v>1120</v>
      </c>
      <c r="C39" s="18" t="s">
        <v>85</v>
      </c>
      <c r="D39" s="28" t="s">
        <v>1121</v>
      </c>
      <c r="E39" s="36" t="str">
        <f>HYPERLINK("https://youtu.be/ZQRKQFyDZLo","channel 1")</f>
        <v>channel 1</v>
      </c>
    </row>
    <row r="40">
      <c r="B40" s="28" t="s">
        <v>174</v>
      </c>
      <c r="C40" s="12" t="s">
        <v>384</v>
      </c>
      <c r="D40" s="28" t="s">
        <v>853</v>
      </c>
      <c r="E40" s="66" t="str">
        <f>HYPERLINK("https://youtu.be/ox9czmGcyY8","channel 2")</f>
        <v>channel 2</v>
      </c>
    </row>
    <row r="41">
      <c r="B41" s="28" t="s">
        <v>1076</v>
      </c>
      <c r="C41" s="12" t="s">
        <v>24</v>
      </c>
      <c r="D41" s="28" t="s">
        <v>1121</v>
      </c>
      <c r="E41" s="36" t="str">
        <f>HYPERLINK("https://youtu.be/mNjQlThKSyc","channel 1")</f>
        <v>channel 1</v>
      </c>
    </row>
    <row r="42">
      <c r="B42" s="28" t="s">
        <v>174</v>
      </c>
      <c r="C42" s="12" t="s">
        <v>24</v>
      </c>
      <c r="D42" s="28" t="s">
        <v>1120</v>
      </c>
      <c r="E42" s="66" t="str">
        <f>HYPERLINK("https://youtu.be/0nUm6yvkYmI","channel 2")</f>
        <v>channel 2</v>
      </c>
    </row>
    <row r="43">
      <c r="B43" s="28" t="s">
        <v>853</v>
      </c>
      <c r="C43" s="12" t="s">
        <v>10</v>
      </c>
      <c r="D43" s="28" t="s">
        <v>1121</v>
      </c>
      <c r="E43" s="36" t="str">
        <f>HYPERLINK("https://youtu.be/YoptR8z7V2w","channel 1")</f>
        <v>channel 1</v>
      </c>
    </row>
    <row r="44">
      <c r="B44" s="28" t="s">
        <v>1076</v>
      </c>
      <c r="C44" s="12" t="s">
        <v>47</v>
      </c>
      <c r="D44" s="28" t="s">
        <v>1120</v>
      </c>
      <c r="E44" s="66" t="str">
        <f>HYPERLINK("https://youtu.be/2FU7IY1oGzA","channel 2")</f>
        <v>channel 2</v>
      </c>
    </row>
    <row r="45">
      <c r="B45" s="58" t="s">
        <v>546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8" t="s">
        <v>1131</v>
      </c>
      <c r="C47" s="12" t="s">
        <v>109</v>
      </c>
      <c r="D47" s="28" t="s">
        <v>1132</v>
      </c>
      <c r="E47" s="36" t="str">
        <f>HYPERLINK("https://youtu.be/WKw1tRWV1fU","channel 1")</f>
        <v>channel 1</v>
      </c>
    </row>
    <row r="48">
      <c r="B48" s="28" t="s">
        <v>1133</v>
      </c>
      <c r="C48" s="12" t="s">
        <v>322</v>
      </c>
      <c r="D48" s="28" t="s">
        <v>1134</v>
      </c>
      <c r="E48" s="66" t="str">
        <f>HYPERLINK("https://youtu.be/a-qNZvRzhY4","channel 2")</f>
        <v>channel 2</v>
      </c>
    </row>
    <row r="49">
      <c r="B49" s="28" t="s">
        <v>1135</v>
      </c>
      <c r="C49" s="12" t="s">
        <v>47</v>
      </c>
      <c r="D49" s="28" t="s">
        <v>1131</v>
      </c>
      <c r="E49" s="36" t="str">
        <f>HYPERLINK("https://youtu.be/GvQmKTzZFTE","channel 1")</f>
        <v>channel 1</v>
      </c>
    </row>
    <row r="50">
      <c r="B50" s="28" t="s">
        <v>1133</v>
      </c>
      <c r="C50" s="12" t="s">
        <v>37</v>
      </c>
      <c r="D50" s="28" t="s">
        <v>1132</v>
      </c>
      <c r="E50" s="66" t="str">
        <f>HYPERLINK("https://youtu.be/oeyqgU9KV4M","channel 2")</f>
        <v>channel 2</v>
      </c>
    </row>
    <row r="51">
      <c r="B51" s="28" t="s">
        <v>1135</v>
      </c>
      <c r="C51" s="12" t="s">
        <v>110</v>
      </c>
      <c r="D51" s="28" t="s">
        <v>1134</v>
      </c>
      <c r="E51" s="36" t="str">
        <f>HYPERLINK("https://youtu.be/r5CpvjQ3eaA","channel 1")</f>
        <v>channel 1</v>
      </c>
    </row>
    <row r="52">
      <c r="B52" s="28" t="s">
        <v>1133</v>
      </c>
      <c r="C52" s="12" t="s">
        <v>35</v>
      </c>
      <c r="D52" s="28" t="s">
        <v>1131</v>
      </c>
      <c r="E52" s="66" t="str">
        <f>HYPERLINK("https://youtu.be/6KTIar8n854","channel 2")</f>
        <v>channel 2</v>
      </c>
    </row>
    <row r="53">
      <c r="B53" s="28" t="s">
        <v>1135</v>
      </c>
      <c r="C53" s="12" t="s">
        <v>47</v>
      </c>
      <c r="D53" s="28" t="s">
        <v>1132</v>
      </c>
      <c r="E53" s="36" t="str">
        <f>HYPERLINK("https://youtu.be/YaG7vcruIU4","channel 1")</f>
        <v>channel 1</v>
      </c>
    </row>
    <row r="54">
      <c r="B54" s="28" t="s">
        <v>1134</v>
      </c>
      <c r="C54" s="12" t="s">
        <v>596</v>
      </c>
      <c r="D54" s="28" t="s">
        <v>1131</v>
      </c>
      <c r="E54" s="66" t="str">
        <f>HYPERLINK("https://youtu.be/W8B3zjpnWQk","channel 2")</f>
        <v>channel 2</v>
      </c>
    </row>
    <row r="55">
      <c r="B55" s="28" t="s">
        <v>1135</v>
      </c>
      <c r="C55" s="12" t="s">
        <v>339</v>
      </c>
      <c r="D55" s="28" t="s">
        <v>1133</v>
      </c>
      <c r="E55" s="36" t="str">
        <f>HYPERLINK("https://youtu.be/PEJsgTN9QP4","channel 1")</f>
        <v>channel 1</v>
      </c>
    </row>
    <row r="56">
      <c r="B56" s="28" t="s">
        <v>1134</v>
      </c>
      <c r="C56" s="12" t="s">
        <v>49</v>
      </c>
      <c r="D56" s="28" t="s">
        <v>1132</v>
      </c>
      <c r="E56" s="66" t="str">
        <f>HYPERLINK("https://youtu.be/LeZ9YrO7TAw","channel 2")</f>
        <v>channel 2</v>
      </c>
    </row>
    <row r="57">
      <c r="B57" s="28" t="s">
        <v>1132</v>
      </c>
      <c r="C57" s="12" t="s">
        <v>761</v>
      </c>
      <c r="D57" s="28" t="s">
        <v>1131</v>
      </c>
      <c r="E57" s="36" t="str">
        <f>HYPERLINK("https://youtu.be/IKvrk0derG8","channel 1")</f>
        <v>channel 1</v>
      </c>
    </row>
    <row r="58">
      <c r="B58" s="28" t="s">
        <v>1134</v>
      </c>
      <c r="C58" s="12" t="s">
        <v>1139</v>
      </c>
      <c r="D58" s="28" t="s">
        <v>1133</v>
      </c>
      <c r="E58" s="66" t="str">
        <f>HYPERLINK("https://youtu.be/e9v7M0edkhs","channel 2")</f>
        <v>channel 2</v>
      </c>
    </row>
    <row r="59">
      <c r="B59" s="28" t="s">
        <v>1131</v>
      </c>
      <c r="C59" s="12" t="s">
        <v>144</v>
      </c>
      <c r="D59" s="28" t="s">
        <v>1135</v>
      </c>
      <c r="E59" s="36" t="str">
        <f>HYPERLINK("https://youtu.be/WYJP_Ss-XIk","channel 1")</f>
        <v>channel 1</v>
      </c>
    </row>
    <row r="60">
      <c r="B60" s="28" t="s">
        <v>1132</v>
      </c>
      <c r="C60" s="12" t="s">
        <v>572</v>
      </c>
      <c r="D60" s="28" t="s">
        <v>1133</v>
      </c>
      <c r="E60" s="66" t="str">
        <f>HYPERLINK("https://youtu.be/J2dKZ8pdBkI","channel 2")</f>
        <v>channel 2</v>
      </c>
    </row>
    <row r="61">
      <c r="B61" s="28" t="s">
        <v>1134</v>
      </c>
      <c r="C61" s="12" t="s">
        <v>1144</v>
      </c>
      <c r="D61" s="28" t="s">
        <v>1135</v>
      </c>
      <c r="E61" s="36" t="str">
        <f>HYPERLINK("https://youtu.be/jitGlNXfvGE","channel 1")</f>
        <v>channel 1</v>
      </c>
    </row>
    <row r="62">
      <c r="B62" s="28" t="s">
        <v>1131</v>
      </c>
      <c r="C62" s="18" t="s">
        <v>297</v>
      </c>
      <c r="D62" s="28" t="s">
        <v>1133</v>
      </c>
      <c r="E62" s="66" t="str">
        <f>HYPERLINK("https://youtu.be/Sis3DEH5W5g","channel 2")</f>
        <v>channel 2</v>
      </c>
    </row>
    <row r="63">
      <c r="B63" s="28" t="s">
        <v>1132</v>
      </c>
      <c r="C63" s="12" t="s">
        <v>278</v>
      </c>
      <c r="D63" s="28" t="s">
        <v>1135</v>
      </c>
      <c r="E63" s="36" t="str">
        <f>HYPERLINK("https://youtu.be/u_PeompwBmw","channel 1")</f>
        <v>channel 1</v>
      </c>
    </row>
    <row r="64">
      <c r="B64" s="28" t="s">
        <v>1131</v>
      </c>
      <c r="C64" s="12" t="s">
        <v>160</v>
      </c>
      <c r="D64" s="28" t="s">
        <v>1134</v>
      </c>
      <c r="E64" s="66" t="str">
        <f>HYPERLINK("https://youtu.be/02KQK_zHB4o","channel 2")</f>
        <v>channel 2</v>
      </c>
    </row>
    <row r="65">
      <c r="B65" s="28" t="s">
        <v>1133</v>
      </c>
      <c r="C65" s="12" t="s">
        <v>141</v>
      </c>
      <c r="D65" s="28" t="s">
        <v>1135</v>
      </c>
      <c r="E65" s="36" t="str">
        <f>HYPERLINK("https://youtu.be/ca85iCpk4O0","channel 1")</f>
        <v>channel 1</v>
      </c>
    </row>
    <row r="66">
      <c r="B66" s="28" t="s">
        <v>1132</v>
      </c>
      <c r="C66" s="12" t="s">
        <v>383</v>
      </c>
      <c r="D66" s="28" t="s">
        <v>1134</v>
      </c>
      <c r="E66" s="66" t="str">
        <f>HYPERLINK("https://youtu.be/fwrAO3tANiE","channel 2")</f>
        <v>channel 2</v>
      </c>
    </row>
    <row r="67">
      <c r="B67" s="67" t="s">
        <v>240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8" t="s">
        <v>1147</v>
      </c>
      <c r="C69" s="12" t="s">
        <v>47</v>
      </c>
      <c r="D69" s="28" t="s">
        <v>247</v>
      </c>
      <c r="E69" s="36" t="str">
        <f>HYPERLINK("https://youtu.be/MnocMf0Nz8A","channel 1")</f>
        <v>channel 1</v>
      </c>
    </row>
    <row r="70">
      <c r="B70" s="28" t="s">
        <v>1148</v>
      </c>
      <c r="C70" s="12" t="s">
        <v>384</v>
      </c>
      <c r="D70" s="28" t="s">
        <v>1149</v>
      </c>
      <c r="E70" s="66" t="str">
        <f>HYPERLINK("https://youtu.be/jbwB9G3x5j8","channel 2")</f>
        <v>channel 2</v>
      </c>
    </row>
    <row r="71">
      <c r="B71" s="28" t="s">
        <v>151</v>
      </c>
      <c r="C71" s="12" t="s">
        <v>477</v>
      </c>
      <c r="D71" s="28" t="s">
        <v>1147</v>
      </c>
      <c r="E71" s="36" t="str">
        <f>HYPERLINK("https://youtu.be/9x8RSvFVPY8","channel 1")</f>
        <v>channel 1</v>
      </c>
    </row>
    <row r="72">
      <c r="B72" s="28" t="s">
        <v>1148</v>
      </c>
      <c r="C72" s="12" t="s">
        <v>871</v>
      </c>
      <c r="D72" s="28" t="s">
        <v>247</v>
      </c>
      <c r="E72" s="66" t="str">
        <f>HYPERLINK("https://youtu.be/IZ64FgQebEY","channel 2")</f>
        <v>channel 2</v>
      </c>
    </row>
    <row r="73">
      <c r="B73" s="28" t="s">
        <v>151</v>
      </c>
      <c r="C73" s="12" t="s">
        <v>350</v>
      </c>
      <c r="D73" s="28" t="s">
        <v>1149</v>
      </c>
      <c r="E73" s="36" t="str">
        <f>HYPERLINK("https://youtu.be/xjo16Ivdx6Y","channel 1")</f>
        <v>channel 1</v>
      </c>
    </row>
    <row r="74">
      <c r="B74" s="28" t="s">
        <v>1148</v>
      </c>
      <c r="C74" s="12" t="s">
        <v>213</v>
      </c>
      <c r="D74" s="28" t="s">
        <v>1147</v>
      </c>
      <c r="E74" s="66" t="str">
        <f>HYPERLINK("https://youtu.be/GWLjpr31eKY","channel 2")</f>
        <v>channel 2</v>
      </c>
    </row>
    <row r="75">
      <c r="B75" s="28" t="s">
        <v>151</v>
      </c>
      <c r="C75" s="12" t="s">
        <v>10</v>
      </c>
      <c r="D75" s="28" t="s">
        <v>247</v>
      </c>
      <c r="E75" s="36" t="str">
        <f>HYPERLINK("https://youtu.be/yZqK2rGSsrs","channel 1")</f>
        <v>channel 1</v>
      </c>
    </row>
    <row r="76">
      <c r="B76" s="28" t="s">
        <v>1149</v>
      </c>
      <c r="C76" s="12" t="s">
        <v>135</v>
      </c>
      <c r="D76" s="28" t="s">
        <v>1147</v>
      </c>
      <c r="E76" s="66" t="str">
        <f>HYPERLINK("https://youtu.be/FPPcAUdbPQU","channel 2")</f>
        <v>channel 2</v>
      </c>
    </row>
    <row r="77">
      <c r="B77" s="28" t="s">
        <v>151</v>
      </c>
      <c r="C77" s="12" t="s">
        <v>232</v>
      </c>
      <c r="D77" s="28" t="s">
        <v>1148</v>
      </c>
      <c r="E77" s="36" t="str">
        <f>HYPERLINK("https://youtu.be/4G7lhDiJ1K4","channel 1")</f>
        <v>channel 1</v>
      </c>
    </row>
    <row r="78">
      <c r="B78" s="28" t="s">
        <v>1149</v>
      </c>
      <c r="C78" s="12" t="s">
        <v>117</v>
      </c>
      <c r="D78" s="28" t="s">
        <v>247</v>
      </c>
      <c r="E78" s="66" t="str">
        <f>HYPERLINK("https://youtu.be/Q1Qpf4cmU40","channel 2")</f>
        <v>channel 2</v>
      </c>
    </row>
    <row r="79">
      <c r="B79" s="28" t="s">
        <v>247</v>
      </c>
      <c r="C79" s="12" t="s">
        <v>141</v>
      </c>
      <c r="D79" s="28" t="s">
        <v>1147</v>
      </c>
      <c r="E79" s="36" t="str">
        <f>HYPERLINK("https://youtu.be/RnKwHX3gKlA","channel 1")</f>
        <v>channel 1</v>
      </c>
    </row>
    <row r="80">
      <c r="B80" s="28" t="s">
        <v>1149</v>
      </c>
      <c r="C80" s="12" t="s">
        <v>33</v>
      </c>
      <c r="D80" s="28" t="s">
        <v>1148</v>
      </c>
      <c r="E80" s="66" t="str">
        <f>HYPERLINK("https://youtu.be/tPZfC1ZfLhM","channel 2")</f>
        <v>channel 2</v>
      </c>
    </row>
    <row r="81">
      <c r="B81" s="28" t="s">
        <v>1147</v>
      </c>
      <c r="C81" s="12" t="s">
        <v>160</v>
      </c>
      <c r="D81" s="28" t="s">
        <v>151</v>
      </c>
      <c r="E81" s="36" t="str">
        <f>HYPERLINK("https://youtu.be/NNb1RjuAl8U","channel 1")</f>
        <v>channel 1</v>
      </c>
    </row>
    <row r="82">
      <c r="B82" s="28" t="s">
        <v>247</v>
      </c>
      <c r="C82" s="12" t="s">
        <v>193</v>
      </c>
      <c r="D82" s="28" t="s">
        <v>1148</v>
      </c>
      <c r="E82" s="66" t="str">
        <f>HYPERLINK("https://youtu.be/zHDoYUgGFqw","channel 2")</f>
        <v>channel 2</v>
      </c>
    </row>
    <row r="83">
      <c r="B83" s="28" t="s">
        <v>1149</v>
      </c>
      <c r="C83" s="12" t="s">
        <v>1153</v>
      </c>
      <c r="D83" s="28" t="s">
        <v>151</v>
      </c>
      <c r="E83" s="36" t="str">
        <f>HYPERLINK("https://youtu.be/z6V2emUSyg0","channel 1")</f>
        <v>channel 1</v>
      </c>
    </row>
    <row r="84">
      <c r="B84" s="28" t="s">
        <v>1147</v>
      </c>
      <c r="C84" s="12" t="s">
        <v>277</v>
      </c>
      <c r="D84" s="28" t="s">
        <v>1148</v>
      </c>
      <c r="E84" s="66" t="str">
        <f>HYPERLINK("https://youtu.be/9XPVIxZ3f4w","channel 2")</f>
        <v>channel 2</v>
      </c>
    </row>
    <row r="85">
      <c r="B85" s="28" t="s">
        <v>247</v>
      </c>
      <c r="C85" s="12" t="s">
        <v>522</v>
      </c>
      <c r="D85" s="28" t="s">
        <v>151</v>
      </c>
      <c r="E85" s="36" t="str">
        <f>HYPERLINK("https://youtu.be/fU46L6m_jxs","channel 1")</f>
        <v>channel 1</v>
      </c>
    </row>
    <row r="86">
      <c r="B86" s="28" t="s">
        <v>1147</v>
      </c>
      <c r="C86" s="12" t="s">
        <v>97</v>
      </c>
      <c r="D86" s="28" t="s">
        <v>1149</v>
      </c>
      <c r="E86" s="66" t="str">
        <f>HYPERLINK("https://youtu.be/C3JJgz1nI7w","channel 2")</f>
        <v>channel 2</v>
      </c>
    </row>
    <row r="87">
      <c r="B87" s="28" t="s">
        <v>1148</v>
      </c>
      <c r="C87" s="12" t="s">
        <v>241</v>
      </c>
      <c r="D87" s="28" t="s">
        <v>151</v>
      </c>
      <c r="E87" s="36" t="str">
        <f>HYPERLINK("https://youtu.be/pUn7TBQMInI","channel 1")</f>
        <v>channel 1</v>
      </c>
    </row>
    <row r="88">
      <c r="B88" s="28" t="s">
        <v>247</v>
      </c>
      <c r="C88" s="12" t="s">
        <v>278</v>
      </c>
      <c r="D88" s="28" t="s">
        <v>1149</v>
      </c>
      <c r="E88" s="66" t="str">
        <f>HYPERLINK("https://youtu.be/Lp5xPGdLpHU","channel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451</v>
      </c>
      <c r="C3" s="12" t="s">
        <v>104</v>
      </c>
      <c r="D3" s="28" t="s">
        <v>1113</v>
      </c>
      <c r="E3" s="36" t="str">
        <f>HYPERLINK("https://youtu.be/h3FxEFnepS4","channel 1")</f>
        <v>channel 1</v>
      </c>
    </row>
    <row r="4">
      <c r="B4" s="28" t="s">
        <v>1114</v>
      </c>
      <c r="C4" s="12" t="s">
        <v>191</v>
      </c>
      <c r="D4" s="28" t="s">
        <v>1115</v>
      </c>
      <c r="E4" s="66" t="str">
        <f>HYPERLINK("https://youtu.be/KP8UCf4HoRE","channel 2")</f>
        <v>channel 2</v>
      </c>
    </row>
    <row r="5">
      <c r="B5" s="28" t="s">
        <v>1116</v>
      </c>
      <c r="C5" s="12" t="s">
        <v>55</v>
      </c>
      <c r="D5" s="28" t="s">
        <v>451</v>
      </c>
      <c r="E5" s="36" t="str">
        <f>HYPERLINK("https://youtu.be/_95uhmHU298","channel 1")</f>
        <v>channel 1</v>
      </c>
    </row>
    <row r="6">
      <c r="B6" s="28" t="s">
        <v>1114</v>
      </c>
      <c r="C6" s="12" t="s">
        <v>148</v>
      </c>
      <c r="D6" s="28" t="s">
        <v>1113</v>
      </c>
      <c r="E6" s="66" t="str">
        <f>HYPERLINK("https://youtu.be/OCJdR8san2g","channel 2")</f>
        <v>channel 2</v>
      </c>
    </row>
    <row r="7">
      <c r="B7" s="28" t="s">
        <v>1116</v>
      </c>
      <c r="C7" s="12" t="s">
        <v>452</v>
      </c>
      <c r="D7" s="28" t="s">
        <v>1115</v>
      </c>
      <c r="E7" s="36" t="str">
        <f>HYPERLINK("https://youtu.be/-ykKLQGIBuM","channel 1")</f>
        <v>channel 1</v>
      </c>
    </row>
    <row r="8">
      <c r="B8" s="28" t="s">
        <v>1114</v>
      </c>
      <c r="C8" s="12" t="s">
        <v>32</v>
      </c>
      <c r="D8" s="28" t="s">
        <v>451</v>
      </c>
      <c r="E8" s="66" t="str">
        <f>HYPERLINK("https://youtu.be/twLaDsbLLbA","channel 2")</f>
        <v>channel 2</v>
      </c>
    </row>
    <row r="9">
      <c r="B9" s="28" t="s">
        <v>1116</v>
      </c>
      <c r="C9" s="12" t="s">
        <v>373</v>
      </c>
      <c r="D9" s="28" t="s">
        <v>1113</v>
      </c>
      <c r="E9" s="36" t="str">
        <f>HYPERLINK("https://youtu.be/Fr5Uw9AqVCk","channel 1")</f>
        <v>channel 1</v>
      </c>
    </row>
    <row r="10">
      <c r="B10" s="28" t="s">
        <v>1115</v>
      </c>
      <c r="C10" s="12" t="s">
        <v>1117</v>
      </c>
      <c r="D10" s="28" t="s">
        <v>451</v>
      </c>
      <c r="E10" s="66" t="str">
        <f>HYPERLINK("https://youtu.be/Yz04OqBchOA","channel 2")</f>
        <v>channel 2</v>
      </c>
    </row>
    <row r="11">
      <c r="B11" s="28" t="s">
        <v>1116</v>
      </c>
      <c r="C11" s="12" t="s">
        <v>806</v>
      </c>
      <c r="D11" s="28" t="s">
        <v>1114</v>
      </c>
      <c r="E11" s="36" t="str">
        <f>HYPERLINK("https://youtu.be/dXJ-Jozm4pE","channel 1")</f>
        <v>channel 1</v>
      </c>
    </row>
    <row r="12">
      <c r="B12" s="28" t="s">
        <v>1115</v>
      </c>
      <c r="C12" s="12" t="s">
        <v>339</v>
      </c>
      <c r="D12" s="28" t="s">
        <v>1113</v>
      </c>
      <c r="E12" s="66" t="str">
        <f>HYPERLINK("https://youtu.be/YSbABwP1CIU","channel 2")</f>
        <v>channel 2</v>
      </c>
    </row>
    <row r="13">
      <c r="B13" s="28" t="s">
        <v>1113</v>
      </c>
      <c r="C13" s="12" t="s">
        <v>104</v>
      </c>
      <c r="D13" s="28" t="s">
        <v>451</v>
      </c>
      <c r="E13" s="36" t="str">
        <f>HYPERLINK("https://youtu.be/3GP4vMf5QrI","channel 1")</f>
        <v>channel 1</v>
      </c>
    </row>
    <row r="14">
      <c r="B14" s="28" t="s">
        <v>1115</v>
      </c>
      <c r="C14" s="12" t="s">
        <v>1119</v>
      </c>
      <c r="D14" s="28" t="s">
        <v>1114</v>
      </c>
      <c r="E14" s="66" t="str">
        <f>HYPERLINK("https://youtu.be/vWUUBw-TeeQ","channel 2")</f>
        <v>channel 2</v>
      </c>
    </row>
    <row r="15">
      <c r="B15" s="28" t="s">
        <v>451</v>
      </c>
      <c r="C15" s="12" t="s">
        <v>551</v>
      </c>
      <c r="D15" s="28" t="s">
        <v>1116</v>
      </c>
      <c r="E15" s="36" t="str">
        <f>HYPERLINK("https://youtu.be/003SQjtMpYo","channel 1")</f>
        <v>channel 1</v>
      </c>
    </row>
    <row r="16">
      <c r="B16" s="28" t="s">
        <v>1113</v>
      </c>
      <c r="C16" s="12" t="s">
        <v>1122</v>
      </c>
      <c r="D16" s="28" t="s">
        <v>1114</v>
      </c>
      <c r="E16" s="66" t="str">
        <f>HYPERLINK("https://www.youtube.com/watch?v=OCJdR8san2g","channel 2")</f>
        <v>channel 2</v>
      </c>
    </row>
    <row r="17">
      <c r="B17" s="28" t="s">
        <v>1115</v>
      </c>
      <c r="C17" s="12" t="s">
        <v>322</v>
      </c>
      <c r="D17" s="28" t="s">
        <v>1116</v>
      </c>
      <c r="E17" s="36" t="str">
        <f>HYPERLINK("https://youtu.be/NOlbN5tU3A8","channel 1")</f>
        <v>channel 1</v>
      </c>
    </row>
    <row r="18">
      <c r="B18" s="28" t="s">
        <v>451</v>
      </c>
      <c r="C18" s="12" t="s">
        <v>184</v>
      </c>
      <c r="D18" s="28" t="s">
        <v>1114</v>
      </c>
      <c r="E18" s="66" t="str">
        <f>HYPERLINK("https://youtu.be/IQlNQGF2fZY","channel 2")</f>
        <v>channel 2</v>
      </c>
    </row>
    <row r="19">
      <c r="B19" s="28" t="s">
        <v>1113</v>
      </c>
      <c r="C19" s="12" t="s">
        <v>318</v>
      </c>
      <c r="D19" s="28" t="s">
        <v>1116</v>
      </c>
      <c r="E19" s="36" t="str">
        <f>HYPERLINK("https://youtu.be/3dzzzmTYW3A","channel 1")</f>
        <v>channel 1</v>
      </c>
    </row>
    <row r="20">
      <c r="B20" s="28" t="s">
        <v>451</v>
      </c>
      <c r="C20" s="12" t="s">
        <v>111</v>
      </c>
      <c r="D20" s="28" t="s">
        <v>1115</v>
      </c>
      <c r="E20" s="66" t="str">
        <f>HYPERLINK("https://youtu.be/ZYxlJWrC5JI","channel 2")</f>
        <v>channel 2</v>
      </c>
    </row>
    <row r="21">
      <c r="B21" s="28" t="s">
        <v>1114</v>
      </c>
      <c r="C21" s="12" t="s">
        <v>671</v>
      </c>
      <c r="D21" s="28" t="s">
        <v>1116</v>
      </c>
      <c r="E21" s="36" t="str">
        <f>HYPERLINK("https://youtu.be/NbxYyXY5Ytg","channel 1")</f>
        <v>channel 1</v>
      </c>
    </row>
    <row r="22">
      <c r="B22" s="28" t="s">
        <v>1113</v>
      </c>
      <c r="C22" s="12" t="s">
        <v>84</v>
      </c>
      <c r="D22" s="28" t="s">
        <v>1115</v>
      </c>
      <c r="E22" s="66" t="str">
        <f>HYPERLINK("https://youtu.be/Sa_QY6erlPc","channel 2")</f>
        <v>channel 2</v>
      </c>
    </row>
    <row r="23">
      <c r="B23" s="58" t="s">
        <v>64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1124</v>
      </c>
      <c r="C25" s="12" t="s">
        <v>1125</v>
      </c>
      <c r="D25" s="28" t="s">
        <v>1126</v>
      </c>
      <c r="E25" s="36" t="str">
        <f>HYPERLINK("https://youtu.be/7NQJoVMRLqE","channel 1")</f>
        <v>channel 1</v>
      </c>
    </row>
    <row r="26">
      <c r="B26" s="28" t="s">
        <v>1127</v>
      </c>
      <c r="C26" s="12" t="s">
        <v>180</v>
      </c>
      <c r="D26" s="28" t="s">
        <v>1128</v>
      </c>
      <c r="E26" s="66" t="str">
        <f>HYPERLINK("https://youtu.be/Skac6LMjg3w","channel 2")</f>
        <v>channel 2</v>
      </c>
    </row>
    <row r="27">
      <c r="B27" s="28" t="s">
        <v>1129</v>
      </c>
      <c r="C27" s="12" t="s">
        <v>90</v>
      </c>
      <c r="D27" s="28" t="s">
        <v>1124</v>
      </c>
      <c r="E27" s="36" t="str">
        <f>HYPERLINK("https://youtu.be/rI6VrfmYk3I","channel 1")</f>
        <v>channel 1</v>
      </c>
    </row>
    <row r="28">
      <c r="B28" s="28" t="s">
        <v>1127</v>
      </c>
      <c r="C28" s="12" t="s">
        <v>871</v>
      </c>
      <c r="D28" s="28" t="s">
        <v>1126</v>
      </c>
      <c r="E28" s="66" t="str">
        <f>HYPERLINK("https://youtu.be/dTlz7_U609M","channel 2")</f>
        <v>channel 2</v>
      </c>
    </row>
    <row r="29">
      <c r="B29" s="28" t="s">
        <v>1129</v>
      </c>
      <c r="C29" s="12" t="s">
        <v>459</v>
      </c>
      <c r="D29" s="28" t="s">
        <v>1128</v>
      </c>
      <c r="E29" s="36" t="str">
        <f>HYPERLINK("https://youtu.be/4ZSG31rXOig","channel 1")</f>
        <v>channel 1</v>
      </c>
    </row>
    <row r="30">
      <c r="B30" s="28" t="s">
        <v>1127</v>
      </c>
      <c r="C30" s="12" t="s">
        <v>553</v>
      </c>
      <c r="D30" s="28" t="s">
        <v>1124</v>
      </c>
      <c r="E30" s="66" t="str">
        <f>HYPERLINK("https://youtu.be/0Hm6T3zZxdg","channel 2")</f>
        <v>channel 2</v>
      </c>
    </row>
    <row r="31">
      <c r="B31" s="28" t="s">
        <v>1129</v>
      </c>
      <c r="C31" s="12" t="s">
        <v>1130</v>
      </c>
      <c r="D31" s="28" t="s">
        <v>1126</v>
      </c>
      <c r="E31" s="36" t="str">
        <f>HYPERLINK("https://youtu.be/izYsJxtNN3c","channel 1")</f>
        <v>channel 1</v>
      </c>
    </row>
    <row r="32">
      <c r="B32" s="28" t="s">
        <v>1128</v>
      </c>
      <c r="C32" s="12" t="s">
        <v>104</v>
      </c>
      <c r="D32" s="28" t="s">
        <v>1124</v>
      </c>
      <c r="E32" s="66" t="str">
        <f>HYPERLINK("https://youtu.be/OeRsu99q_Dw","channel 2")</f>
        <v>channel 2</v>
      </c>
    </row>
    <row r="33">
      <c r="B33" s="28" t="s">
        <v>1129</v>
      </c>
      <c r="C33" s="12" t="s">
        <v>328</v>
      </c>
      <c r="D33" s="28" t="s">
        <v>1127</v>
      </c>
      <c r="E33" s="36" t="str">
        <f>HYPERLINK("https://youtu.be/2MUtpvsPkUI","channel 1")</f>
        <v>channel 1</v>
      </c>
    </row>
    <row r="34">
      <c r="B34" s="28" t="s">
        <v>1128</v>
      </c>
      <c r="C34" s="12" t="s">
        <v>110</v>
      </c>
      <c r="D34" s="28" t="s">
        <v>1126</v>
      </c>
      <c r="E34" s="66" t="str">
        <f>HYPERLINK("https://youtu.be/AVmbSyNjOTU","channel 2")</f>
        <v>channel 2</v>
      </c>
    </row>
    <row r="35">
      <c r="B35" s="28" t="s">
        <v>1126</v>
      </c>
      <c r="C35" s="12" t="s">
        <v>37</v>
      </c>
      <c r="D35" s="28" t="s">
        <v>1124</v>
      </c>
      <c r="E35" s="36" t="str">
        <f>HYPERLINK("https://youtu.be/qwbDS2yyUUQ","channel 1")</f>
        <v>channel 1</v>
      </c>
    </row>
    <row r="36">
      <c r="B36" s="28" t="s">
        <v>1128</v>
      </c>
      <c r="C36" s="12" t="s">
        <v>93</v>
      </c>
      <c r="D36" s="28" t="s">
        <v>1127</v>
      </c>
      <c r="E36" s="66" t="str">
        <f>HYPERLINK("https://youtu.be/9o2o-oKbyUM","channel 2")</f>
        <v>channel 2</v>
      </c>
    </row>
    <row r="37">
      <c r="B37" s="28" t="s">
        <v>1124</v>
      </c>
      <c r="C37" s="12" t="s">
        <v>99</v>
      </c>
      <c r="D37" s="28" t="s">
        <v>1129</v>
      </c>
      <c r="E37" s="36" t="str">
        <f>HYPERLINK("https://youtu.be/i5rwaFoKToc","channel 1")</f>
        <v>channel 1</v>
      </c>
    </row>
    <row r="38">
      <c r="B38" s="28" t="s">
        <v>1126</v>
      </c>
      <c r="C38" s="12" t="s">
        <v>1136</v>
      </c>
      <c r="D38" s="28" t="s">
        <v>1127</v>
      </c>
      <c r="E38" s="66" t="str">
        <f>HYPERLINK("https://youtu.be/UR2CRXp2gtI","channel 2")</f>
        <v>channel 2</v>
      </c>
    </row>
    <row r="39">
      <c r="B39" s="28" t="s">
        <v>1128</v>
      </c>
      <c r="C39" s="18" t="s">
        <v>141</v>
      </c>
      <c r="D39" s="28" t="s">
        <v>1129</v>
      </c>
      <c r="E39" s="36" t="str">
        <f>HYPERLINK("https://youtu.be/TXkY1ajKLD8","channel 1")</f>
        <v>channel 1</v>
      </c>
    </row>
    <row r="40">
      <c r="B40" s="28" t="s">
        <v>1124</v>
      </c>
      <c r="C40" s="12" t="s">
        <v>477</v>
      </c>
      <c r="D40" s="28" t="s">
        <v>1127</v>
      </c>
      <c r="E40" s="66" t="str">
        <f>HYPERLINK("https://youtu.be/IsMgDkvMJ4I","channel 2")</f>
        <v>channel 2</v>
      </c>
    </row>
    <row r="41">
      <c r="B41" s="28" t="s">
        <v>1126</v>
      </c>
      <c r="C41" s="12" t="s">
        <v>493</v>
      </c>
      <c r="D41" s="28" t="s">
        <v>1129</v>
      </c>
      <c r="E41" s="36" t="str">
        <f>HYPERLINK("https://youtu.be/SK9oiAU8qZE","channel 1")</f>
        <v>channel 1</v>
      </c>
    </row>
    <row r="42">
      <c r="B42" s="28" t="s">
        <v>1124</v>
      </c>
      <c r="C42" s="12" t="s">
        <v>184</v>
      </c>
      <c r="D42" s="28" t="s">
        <v>1128</v>
      </c>
      <c r="E42" s="66" t="str">
        <f>HYPERLINK("https://youtu.be/ZrCFgfTgmcM","channel 2")</f>
        <v>channel 2</v>
      </c>
    </row>
    <row r="43">
      <c r="B43" s="28" t="s">
        <v>1127</v>
      </c>
      <c r="C43" s="12" t="s">
        <v>1137</v>
      </c>
      <c r="D43" s="28" t="s">
        <v>1129</v>
      </c>
      <c r="E43" s="36" t="str">
        <f>HYPERLINK("https://youtu.be/zcSjljqOivE","channel 1")</f>
        <v>channel 1</v>
      </c>
    </row>
    <row r="44">
      <c r="B44" s="28" t="s">
        <v>1126</v>
      </c>
      <c r="C44" s="12" t="s">
        <v>1138</v>
      </c>
      <c r="D44" s="28" t="s">
        <v>1128</v>
      </c>
      <c r="E44" s="66" t="str">
        <f>HYPERLINK("https://youtu.be/z_PY4kkx3us","channel 2")</f>
        <v>channel 2</v>
      </c>
    </row>
    <row r="45">
      <c r="B45" s="58" t="s">
        <v>971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8" t="s">
        <v>1140</v>
      </c>
      <c r="C47" s="12" t="s">
        <v>37</v>
      </c>
      <c r="D47" s="28" t="s">
        <v>913</v>
      </c>
      <c r="E47" s="36" t="str">
        <f>HYPERLINK("https://youtu.be/WwFoJ1ThR9U","channel 1")</f>
        <v>channel 1</v>
      </c>
    </row>
    <row r="48">
      <c r="B48" s="28" t="s">
        <v>1141</v>
      </c>
      <c r="C48" s="12" t="s">
        <v>858</v>
      </c>
      <c r="D48" s="28" t="s">
        <v>1142</v>
      </c>
      <c r="E48" s="66" t="str">
        <f>HYPERLINK("https://youtu.be/pDQQZ29Jl20","channel 2")</f>
        <v>channel 2</v>
      </c>
    </row>
    <row r="49">
      <c r="B49" s="28" t="s">
        <v>1143</v>
      </c>
      <c r="C49" s="12" t="s">
        <v>27</v>
      </c>
      <c r="D49" s="28" t="s">
        <v>1140</v>
      </c>
      <c r="E49" s="36" t="str">
        <f>HYPERLINK("https://youtu.be/hF4AsLRJBJM","channel 1")</f>
        <v>channel 1</v>
      </c>
    </row>
    <row r="50">
      <c r="B50" s="28" t="s">
        <v>1141</v>
      </c>
      <c r="C50" s="12" t="s">
        <v>1145</v>
      </c>
      <c r="D50" s="28" t="s">
        <v>913</v>
      </c>
      <c r="E50" s="66" t="str">
        <f>HYPERLINK("https://youtu.be/rdgl2DbMnOA","channel 2")</f>
        <v>channel 2</v>
      </c>
    </row>
    <row r="51">
      <c r="B51" s="28" t="s">
        <v>1143</v>
      </c>
      <c r="C51" s="12" t="s">
        <v>85</v>
      </c>
      <c r="D51" s="28" t="s">
        <v>1142</v>
      </c>
      <c r="E51" s="36" t="str">
        <f>HYPERLINK("https://youtu.be/eyp9kwvbtNo","channel 1")</f>
        <v>channel 1</v>
      </c>
    </row>
    <row r="52">
      <c r="B52" s="28" t="s">
        <v>1141</v>
      </c>
      <c r="C52" s="12" t="s">
        <v>32</v>
      </c>
      <c r="D52" s="28" t="s">
        <v>1140</v>
      </c>
      <c r="E52" s="66" t="str">
        <f>HYPERLINK("https://www.youtube.com/watch?v=4dOBTQKAkRE","channel 2")</f>
        <v>channel 2</v>
      </c>
    </row>
    <row r="53">
      <c r="B53" s="28" t="s">
        <v>1143</v>
      </c>
      <c r="C53" s="12" t="s">
        <v>59</v>
      </c>
      <c r="D53" s="28" t="s">
        <v>913</v>
      </c>
      <c r="E53" s="36" t="str">
        <f>HYPERLINK("https://youtu.be/aKsAN3pFLns","channel 1")</f>
        <v>channel 1</v>
      </c>
    </row>
    <row r="54">
      <c r="B54" s="28" t="s">
        <v>1142</v>
      </c>
      <c r="C54" s="12" t="s">
        <v>943</v>
      </c>
      <c r="D54" s="28" t="s">
        <v>1140</v>
      </c>
      <c r="E54" s="66" t="str">
        <f>HYPERLINK("https://youtu.be/TFyTH80dCJg","channel 2")</f>
        <v>channel 2</v>
      </c>
    </row>
    <row r="55">
      <c r="B55" s="28" t="s">
        <v>1143</v>
      </c>
      <c r="C55" s="12" t="s">
        <v>99</v>
      </c>
      <c r="D55" s="28" t="s">
        <v>1141</v>
      </c>
      <c r="E55" s="36" t="str">
        <f>HYPERLINK("https://youtu.be/vMMMYXzAXns","channel 1")</f>
        <v>channel 1</v>
      </c>
    </row>
    <row r="56">
      <c r="B56" s="28" t="s">
        <v>1142</v>
      </c>
      <c r="C56" s="12" t="s">
        <v>33</v>
      </c>
      <c r="D56" s="28" t="s">
        <v>913</v>
      </c>
      <c r="E56" s="66" t="str">
        <f>HYPERLINK("https://youtu.be/7WuSgwDbH8c","channel 2")</f>
        <v>channel 2</v>
      </c>
    </row>
    <row r="57">
      <c r="B57" s="28" t="s">
        <v>913</v>
      </c>
      <c r="C57" s="12" t="s">
        <v>1146</v>
      </c>
      <c r="D57" s="28" t="s">
        <v>1140</v>
      </c>
      <c r="E57" s="36" t="str">
        <f>HYPERLINK("https://youtu.be/Mlyy7eJ_nSk","channel 1")</f>
        <v>channel 1</v>
      </c>
    </row>
    <row r="58">
      <c r="B58" s="28" t="s">
        <v>1142</v>
      </c>
      <c r="C58" s="12" t="s">
        <v>436</v>
      </c>
      <c r="D58" s="28" t="s">
        <v>1141</v>
      </c>
      <c r="E58" s="66" t="str">
        <f>HYPERLINK("https://youtu.be/GNho1DGS28A","channel 2")</f>
        <v>channel 2</v>
      </c>
    </row>
    <row r="59">
      <c r="B59" s="28" t="s">
        <v>1140</v>
      </c>
      <c r="C59" s="12" t="s">
        <v>34</v>
      </c>
      <c r="D59" s="28" t="s">
        <v>1143</v>
      </c>
      <c r="E59" s="36" t="str">
        <f>HYPERLINK("https://youtu.be/nUozYLNv5a0","channel 1")</f>
        <v>channel 1</v>
      </c>
    </row>
    <row r="60">
      <c r="B60" s="28" t="s">
        <v>913</v>
      </c>
      <c r="C60" s="12" t="s">
        <v>36</v>
      </c>
      <c r="D60" s="28" t="s">
        <v>1141</v>
      </c>
      <c r="E60" s="66" t="str">
        <f>HYPERLINK("https://youtu.be/4diwiuubV8E","channel 2")</f>
        <v>channel 2</v>
      </c>
    </row>
    <row r="61">
      <c r="B61" s="28" t="s">
        <v>1142</v>
      </c>
      <c r="C61" s="12" t="s">
        <v>44</v>
      </c>
      <c r="D61" s="28" t="s">
        <v>1143</v>
      </c>
      <c r="E61" s="36" t="str">
        <f>HYPERLINK("https://youtu.be/OMJ4FZKkxYM","channel 1")</f>
        <v>channel 1</v>
      </c>
    </row>
    <row r="62">
      <c r="B62" s="28" t="s">
        <v>1140</v>
      </c>
      <c r="C62" s="18" t="s">
        <v>24</v>
      </c>
      <c r="D62" s="28" t="s">
        <v>1141</v>
      </c>
      <c r="E62" s="66" t="str">
        <f>HYPERLINK("https://youtu.be/MDlXUl0GvHw","channel 2")</f>
        <v>channel 2</v>
      </c>
    </row>
    <row r="63">
      <c r="B63" s="28" t="s">
        <v>913</v>
      </c>
      <c r="C63" s="12" t="s">
        <v>138</v>
      </c>
      <c r="D63" s="28" t="s">
        <v>1143</v>
      </c>
      <c r="E63" s="36" t="str">
        <f>HYPERLINK("https://youtu.be/s9KZe6sGDBA","channel 1")</f>
        <v>channel 1</v>
      </c>
    </row>
    <row r="64">
      <c r="B64" s="28" t="s">
        <v>1140</v>
      </c>
      <c r="C64" s="12" t="s">
        <v>157</v>
      </c>
      <c r="D64" s="28" t="s">
        <v>1142</v>
      </c>
      <c r="E64" s="66" t="str">
        <f>HYPERLINK("https://youtu.be/8qqOuK8_aqI","channel 2")</f>
        <v>channel 2</v>
      </c>
    </row>
    <row r="65">
      <c r="B65" s="28" t="s">
        <v>1141</v>
      </c>
      <c r="C65" s="12" t="s">
        <v>1123</v>
      </c>
      <c r="D65" s="28" t="s">
        <v>1143</v>
      </c>
      <c r="E65" s="36" t="str">
        <f>HYPERLINK("https://youtu.be/oeB20UoAXck","channel 1")</f>
        <v>channel 1</v>
      </c>
    </row>
    <row r="66">
      <c r="B66" s="28" t="s">
        <v>913</v>
      </c>
      <c r="C66" s="12" t="s">
        <v>103</v>
      </c>
      <c r="D66" s="28" t="s">
        <v>1142</v>
      </c>
      <c r="E66" s="66" t="str">
        <f>HYPERLINK("https://youtu.be/ObOz7_v1x8M","channel 2")</f>
        <v>channel 2</v>
      </c>
    </row>
    <row r="67">
      <c r="B67" s="69" t="s">
        <v>1150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8" t="s">
        <v>1151</v>
      </c>
      <c r="C69" s="12" t="s">
        <v>521</v>
      </c>
      <c r="D69" s="28" t="s">
        <v>1152</v>
      </c>
      <c r="E69" s="36" t="str">
        <f>HYPERLINK("https://youtu.be/2OnODwTKe8M","channel 1")</f>
        <v>channel 1</v>
      </c>
    </row>
    <row r="70">
      <c r="B70" s="28" t="s">
        <v>1154</v>
      </c>
      <c r="C70" s="12" t="s">
        <v>251</v>
      </c>
      <c r="D70" s="28" t="s">
        <v>1155</v>
      </c>
      <c r="E70" s="66" t="str">
        <f>HYPERLINK("https://youtu.be/eg65NV3lCOU","channel 2")</f>
        <v>channel 2</v>
      </c>
    </row>
    <row r="71">
      <c r="B71" s="28" t="s">
        <v>1156</v>
      </c>
      <c r="C71" s="12" t="s">
        <v>180</v>
      </c>
      <c r="D71" s="28" t="s">
        <v>1151</v>
      </c>
      <c r="E71" s="36" t="str">
        <f>HYPERLINK("https://youtu.be/99eOq07XA1c","channel 1")</f>
        <v>channel 1</v>
      </c>
    </row>
    <row r="72">
      <c r="B72" s="28" t="s">
        <v>1154</v>
      </c>
      <c r="C72" s="12" t="s">
        <v>297</v>
      </c>
      <c r="D72" s="28" t="s">
        <v>1152</v>
      </c>
      <c r="E72" s="66" t="str">
        <f>HYPERLINK("https://youtu.be/4P8qds5oIx0","channel 2")</f>
        <v>channel 2</v>
      </c>
    </row>
    <row r="73">
      <c r="B73" s="28" t="s">
        <v>1156</v>
      </c>
      <c r="C73" s="12" t="s">
        <v>1157</v>
      </c>
      <c r="D73" s="28" t="s">
        <v>1155</v>
      </c>
      <c r="E73" s="36" t="str">
        <f>HYPERLINK("https://youtu.be/M1rK6V60hEI","channel 1")</f>
        <v>channel 1</v>
      </c>
    </row>
    <row r="74">
      <c r="B74" s="28" t="s">
        <v>1154</v>
      </c>
      <c r="C74" s="12" t="s">
        <v>1158</v>
      </c>
      <c r="D74" s="28" t="s">
        <v>1151</v>
      </c>
      <c r="E74" s="66" t="str">
        <f>HYPERLINK("https://youtu.be/9QFhSpRFqj4","channel 2")</f>
        <v>channel 2</v>
      </c>
    </row>
    <row r="75">
      <c r="B75" s="28" t="s">
        <v>1156</v>
      </c>
      <c r="C75" s="12" t="s">
        <v>20</v>
      </c>
      <c r="D75" s="28" t="s">
        <v>1152</v>
      </c>
      <c r="E75" s="36" t="str">
        <f>HYPERLINK("https://youtu.be/-PxjCJBQ5ug","channel 1")</f>
        <v>channel 1</v>
      </c>
    </row>
    <row r="76">
      <c r="B76" s="28" t="s">
        <v>1155</v>
      </c>
      <c r="C76" s="12" t="s">
        <v>353</v>
      </c>
      <c r="D76" s="28" t="s">
        <v>1151</v>
      </c>
      <c r="E76" s="66" t="str">
        <f>HYPERLINK("https://youtu.be/VEl7Bzq0uBo","channel 2")</f>
        <v>channel 2</v>
      </c>
    </row>
    <row r="77">
      <c r="B77" s="28" t="s">
        <v>1156</v>
      </c>
      <c r="C77" s="12" t="s">
        <v>34</v>
      </c>
      <c r="D77" s="28" t="s">
        <v>1154</v>
      </c>
      <c r="E77" s="36" t="str">
        <f>HYPERLINK("https://youtu.be/qmVLr_OqUXo","channel 1")</f>
        <v>channel 1</v>
      </c>
    </row>
    <row r="78">
      <c r="B78" s="28" t="s">
        <v>1155</v>
      </c>
      <c r="C78" s="12" t="s">
        <v>104</v>
      </c>
      <c r="D78" s="28" t="s">
        <v>1152</v>
      </c>
      <c r="E78" s="66" t="str">
        <f>HYPERLINK("https://youtu.be/6gazT1_-zg8","channel 2")</f>
        <v>channel 2</v>
      </c>
    </row>
    <row r="79">
      <c r="B79" s="28" t="s">
        <v>1152</v>
      </c>
      <c r="C79" s="12" t="s">
        <v>99</v>
      </c>
      <c r="D79" s="28" t="s">
        <v>1151</v>
      </c>
      <c r="E79" s="36" t="str">
        <f>HYPERLINK("https://youtu.be/-kZdENxiNmo","channel 1")</f>
        <v>channel 1</v>
      </c>
    </row>
    <row r="80">
      <c r="B80" s="28" t="s">
        <v>1155</v>
      </c>
      <c r="C80" s="12" t="s">
        <v>337</v>
      </c>
      <c r="D80" s="28" t="s">
        <v>1154</v>
      </c>
      <c r="E80" s="66" t="str">
        <f>HYPERLINK("https://youtu.be/OFrP-RZqgRs","channel 2")</f>
        <v>channel 2</v>
      </c>
    </row>
    <row r="81">
      <c r="B81" s="28" t="s">
        <v>1151</v>
      </c>
      <c r="C81" s="12" t="s">
        <v>180</v>
      </c>
      <c r="D81" s="28" t="s">
        <v>1156</v>
      </c>
      <c r="E81" s="36" t="str">
        <f>HYPERLINK("https://youtu.be/WmgzzTYvveU","channel 1")</f>
        <v>channel 1</v>
      </c>
    </row>
    <row r="82">
      <c r="B82" s="28" t="s">
        <v>1152</v>
      </c>
      <c r="C82" s="12" t="s">
        <v>44</v>
      </c>
      <c r="D82" s="28" t="s">
        <v>1154</v>
      </c>
      <c r="E82" s="66" t="str">
        <f>HYPERLINK("https://youtu.be/cvXEKApM8CY","channel 2")</f>
        <v>channel 2</v>
      </c>
    </row>
    <row r="83">
      <c r="B83" s="28" t="s">
        <v>1155</v>
      </c>
      <c r="C83" s="12" t="s">
        <v>47</v>
      </c>
      <c r="D83" s="28" t="s">
        <v>1156</v>
      </c>
      <c r="E83" s="36" t="str">
        <f>HYPERLINK("https://youtu.be/Ikc2xILA_zU","channel 1")</f>
        <v>channel 1</v>
      </c>
    </row>
    <row r="84">
      <c r="B84" s="28" t="s">
        <v>1151</v>
      </c>
      <c r="C84" s="12" t="s">
        <v>141</v>
      </c>
      <c r="D84" s="28" t="s">
        <v>1154</v>
      </c>
      <c r="E84" s="66" t="str">
        <f>HYPERLINK("https://www.youtube.com/watch?v=THBuC_RNTjQ&amp;feature=youtu.be","channel 2")</f>
        <v>channel 2</v>
      </c>
    </row>
    <row r="85">
      <c r="B85" s="28" t="s">
        <v>1152</v>
      </c>
      <c r="C85" s="12" t="s">
        <v>1159</v>
      </c>
      <c r="D85" s="28" t="s">
        <v>1156</v>
      </c>
      <c r="E85" s="36" t="str">
        <f>HYPERLINK("https://youtu.be/vn2V9ubLJ14","channel 1")</f>
        <v>channel 1</v>
      </c>
    </row>
    <row r="86">
      <c r="B86" s="28" t="s">
        <v>1151</v>
      </c>
      <c r="C86" s="12" t="s">
        <v>35</v>
      </c>
      <c r="D86" s="28" t="s">
        <v>1155</v>
      </c>
      <c r="E86" s="66" t="str">
        <f>HYPERLINK("https://youtu.be/ZIbLqLBIIvE","channel 2")</f>
        <v>channel 2</v>
      </c>
    </row>
    <row r="87">
      <c r="B87" s="28" t="s">
        <v>1154</v>
      </c>
      <c r="C87" s="12" t="s">
        <v>237</v>
      </c>
      <c r="D87" s="28" t="s">
        <v>1156</v>
      </c>
      <c r="E87" s="36" t="str">
        <f>HYPERLINK("https://youtu.be/Z_AHFbbu2_c","channel 1")</f>
        <v>channel 1</v>
      </c>
    </row>
    <row r="88">
      <c r="B88" s="28" t="s">
        <v>1152</v>
      </c>
      <c r="C88" s="12" t="s">
        <v>577</v>
      </c>
      <c r="D88" s="28" t="s">
        <v>1155</v>
      </c>
      <c r="E88" s="66" t="str">
        <f>HYPERLINK("https://youtu.be/6wDyHoCI9Kg","channel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921</v>
      </c>
      <c r="C3" s="12" t="s">
        <v>278</v>
      </c>
      <c r="D3" s="28" t="s">
        <v>1160</v>
      </c>
      <c r="E3" s="36" t="str">
        <f>HYPERLINK("https://youtu.be/bhTyVbsvZ58","channel 1")</f>
        <v>channel 1</v>
      </c>
    </row>
    <row r="4">
      <c r="B4" s="28" t="s">
        <v>1161</v>
      </c>
      <c r="C4" s="12" t="s">
        <v>551</v>
      </c>
      <c r="D4" s="28" t="s">
        <v>1162</v>
      </c>
      <c r="E4" s="66" t="str">
        <f>HYPERLINK("https://youtu.be/-wN2LWqSkxo","channel 2")</f>
        <v>channel 2</v>
      </c>
    </row>
    <row r="5">
      <c r="B5" s="28" t="s">
        <v>1163</v>
      </c>
      <c r="C5" s="12" t="s">
        <v>311</v>
      </c>
      <c r="D5" s="28" t="s">
        <v>921</v>
      </c>
      <c r="E5" s="36" t="str">
        <f>HYPERLINK("https://youtu.be/63dlhQD7llg","channel 1")</f>
        <v>channel 1</v>
      </c>
    </row>
    <row r="6">
      <c r="B6" s="28" t="s">
        <v>1161</v>
      </c>
      <c r="C6" s="12" t="s">
        <v>538</v>
      </c>
      <c r="D6" s="28" t="s">
        <v>1160</v>
      </c>
      <c r="E6" s="66" t="str">
        <f>HYPERLINK("https://youtu.be/kNvNViwNnv0","channel 2")</f>
        <v>channel 2</v>
      </c>
    </row>
    <row r="7">
      <c r="B7" s="28" t="s">
        <v>1163</v>
      </c>
      <c r="C7" s="12" t="s">
        <v>84</v>
      </c>
      <c r="D7" s="28" t="s">
        <v>1162</v>
      </c>
      <c r="E7" s="36" t="str">
        <f>HYPERLINK("https://youtu.be/M6xsu6t1aj4","channel 1")</f>
        <v>channel 1</v>
      </c>
    </row>
    <row r="8">
      <c r="B8" s="28" t="s">
        <v>1161</v>
      </c>
      <c r="C8" s="12" t="s">
        <v>214</v>
      </c>
      <c r="D8" s="28" t="s">
        <v>921</v>
      </c>
      <c r="E8" s="66" t="str">
        <f>HYPERLINK("https://youtu.be/d_QBqE3YMGI","channel 2")</f>
        <v>channel 2</v>
      </c>
    </row>
    <row r="9">
      <c r="B9" s="28" t="s">
        <v>1163</v>
      </c>
      <c r="C9" s="12" t="s">
        <v>522</v>
      </c>
      <c r="D9" s="28" t="s">
        <v>1160</v>
      </c>
      <c r="E9" s="36" t="str">
        <f>HYPERLINK("https://youtu.be/Ts8ETghsvL8","channel 1")</f>
        <v>channel 1</v>
      </c>
    </row>
    <row r="10">
      <c r="B10" s="28" t="s">
        <v>1162</v>
      </c>
      <c r="C10" s="12" t="s">
        <v>358</v>
      </c>
      <c r="D10" s="28" t="s">
        <v>921</v>
      </c>
      <c r="E10" s="66" t="str">
        <f>HYPERLINK("https://youtu.be/Fxju3r5uvBI","channel 2")</f>
        <v>channel 2</v>
      </c>
    </row>
    <row r="11">
      <c r="B11" s="28" t="s">
        <v>1163</v>
      </c>
      <c r="C11" s="12" t="s">
        <v>216</v>
      </c>
      <c r="D11" s="28" t="s">
        <v>1161</v>
      </c>
      <c r="E11" s="36" t="str">
        <f>HYPERLINK("https://youtu.be/gvvXZ4jWotM","channel 1")</f>
        <v>channel 1</v>
      </c>
    </row>
    <row r="12">
      <c r="B12" s="28" t="s">
        <v>1162</v>
      </c>
      <c r="C12" s="12" t="s">
        <v>157</v>
      </c>
      <c r="D12" s="28" t="s">
        <v>1160</v>
      </c>
      <c r="E12" s="66" t="str">
        <f>HYPERLINK("https://youtu.be/turM7QGux5w","channel 2")</f>
        <v>channel 2</v>
      </c>
    </row>
    <row r="13">
      <c r="B13" s="28" t="s">
        <v>1160</v>
      </c>
      <c r="C13" s="12" t="s">
        <v>116</v>
      </c>
      <c r="D13" s="28" t="s">
        <v>921</v>
      </c>
      <c r="E13" s="36" t="str">
        <f>HYPERLINK("https://youtu.be/ofSAV5rI154","channel 1")</f>
        <v>channel 1</v>
      </c>
    </row>
    <row r="14">
      <c r="B14" s="28" t="s">
        <v>1162</v>
      </c>
      <c r="C14" s="12" t="s">
        <v>59</v>
      </c>
      <c r="D14" s="28" t="s">
        <v>1161</v>
      </c>
      <c r="E14" s="66" t="str">
        <f>HYPERLINK("https://youtu.be/qX9w6Ny4OvM","channel 2")</f>
        <v>channel 2</v>
      </c>
    </row>
    <row r="15">
      <c r="B15" s="28" t="s">
        <v>921</v>
      </c>
      <c r="C15" s="12" t="s">
        <v>44</v>
      </c>
      <c r="D15" s="28" t="s">
        <v>1163</v>
      </c>
      <c r="E15" s="36" t="str">
        <f>HYPERLINK("https://youtu.be/T4y_TGxI1Oc","channel 1")</f>
        <v>channel 1</v>
      </c>
    </row>
    <row r="16">
      <c r="B16" s="28" t="s">
        <v>1160</v>
      </c>
      <c r="C16" s="12" t="s">
        <v>749</v>
      </c>
      <c r="D16" s="28" t="s">
        <v>1161</v>
      </c>
      <c r="E16" s="66" t="str">
        <f>HYPERLINK("https://youtu.be/gEyAmX57O9g","channel 2")</f>
        <v>channel 2</v>
      </c>
    </row>
    <row r="17">
      <c r="B17" s="28" t="s">
        <v>1162</v>
      </c>
      <c r="C17" s="12" t="s">
        <v>328</v>
      </c>
      <c r="D17" s="28" t="s">
        <v>1163</v>
      </c>
      <c r="E17" s="36" t="str">
        <f>HYPERLINK("https://youtu.be/chP9NnwLu9Y","channel 1")</f>
        <v>channel 1</v>
      </c>
    </row>
    <row r="18">
      <c r="B18" s="28" t="s">
        <v>921</v>
      </c>
      <c r="C18" s="12" t="s">
        <v>113</v>
      </c>
      <c r="D18" s="28" t="s">
        <v>1161</v>
      </c>
      <c r="E18" s="66" t="str">
        <f>HYPERLINK("https://youtu.be/qnQRPSeIneg","channel 2")</f>
        <v>channel 2</v>
      </c>
    </row>
    <row r="19">
      <c r="B19" s="28" t="s">
        <v>1160</v>
      </c>
      <c r="C19" s="12" t="s">
        <v>204</v>
      </c>
      <c r="D19" s="28" t="s">
        <v>1163</v>
      </c>
      <c r="E19" s="36" t="str">
        <f>HYPERLINK("https://youtu.be/S8PxotFDQig","channel 1")</f>
        <v>channel 1</v>
      </c>
    </row>
    <row r="20">
      <c r="B20" s="28" t="s">
        <v>921</v>
      </c>
      <c r="C20" s="12" t="s">
        <v>74</v>
      </c>
      <c r="D20" s="28" t="s">
        <v>1162</v>
      </c>
      <c r="E20" s="66" t="str">
        <f>HYPERLINK("https://youtu.be/vteIqU2iDmQ","channel 2")</f>
        <v>channel 2</v>
      </c>
    </row>
    <row r="21">
      <c r="B21" s="28" t="s">
        <v>1161</v>
      </c>
      <c r="C21" s="12" t="s">
        <v>179</v>
      </c>
      <c r="D21" s="28" t="s">
        <v>1163</v>
      </c>
      <c r="E21" s="36" t="str">
        <f>HYPERLINK("https://youtu.be/yAaEjCcq750","channel 1")</f>
        <v>channel 1</v>
      </c>
    </row>
    <row r="22">
      <c r="B22" s="28" t="s">
        <v>1160</v>
      </c>
      <c r="C22" s="12" t="s">
        <v>108</v>
      </c>
      <c r="D22" s="28" t="s">
        <v>1162</v>
      </c>
      <c r="E22" s="66" t="str">
        <f>HYPERLINK("https://youtu.be/RxKMj4J3DQo","channel 2")</f>
        <v>channel 2</v>
      </c>
    </row>
    <row r="23">
      <c r="B23" s="58" t="s">
        <v>579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1164</v>
      </c>
      <c r="C25" s="12" t="s">
        <v>1165</v>
      </c>
      <c r="D25" s="28" t="s">
        <v>1166</v>
      </c>
      <c r="E25" s="36" t="str">
        <f>HYPERLINK("https://youtu.be/_de3uFlCydE","channel 1")</f>
        <v>channel 1</v>
      </c>
    </row>
    <row r="26">
      <c r="B26" s="28" t="s">
        <v>1167</v>
      </c>
      <c r="C26" s="12" t="s">
        <v>281</v>
      </c>
      <c r="D26" s="28" t="s">
        <v>1168</v>
      </c>
      <c r="E26" s="66" t="str">
        <f>HYPERLINK("https://youtu.be/DqTGrjryy9U","channel 2")</f>
        <v>channel 2</v>
      </c>
    </row>
    <row r="27">
      <c r="B27" s="28" t="s">
        <v>1169</v>
      </c>
      <c r="C27" s="12" t="s">
        <v>37</v>
      </c>
      <c r="D27" s="28" t="s">
        <v>1164</v>
      </c>
      <c r="E27" s="36" t="str">
        <f>HYPERLINK("https://youtu.be/fsSLObwvAb4","channel 1")</f>
        <v>channel 1</v>
      </c>
    </row>
    <row r="28">
      <c r="B28" s="28" t="s">
        <v>1167</v>
      </c>
      <c r="C28" s="12" t="s">
        <v>573</v>
      </c>
      <c r="D28" s="28" t="s">
        <v>1166</v>
      </c>
      <c r="E28" s="66" t="str">
        <f>HYPERLINK("https://youtu.be/raWVZnog3Hc","channel 2")</f>
        <v>channel 2</v>
      </c>
    </row>
    <row r="29">
      <c r="B29" s="28" t="s">
        <v>1169</v>
      </c>
      <c r="C29" s="12" t="s">
        <v>887</v>
      </c>
      <c r="D29" s="28" t="s">
        <v>1168</v>
      </c>
      <c r="E29" s="36" t="str">
        <f>HYPERLINK("https://youtu.be/dnEDL8uEWjg","channel 1")</f>
        <v>channel 1</v>
      </c>
    </row>
    <row r="30">
      <c r="B30" s="28" t="s">
        <v>1167</v>
      </c>
      <c r="C30" s="12" t="s">
        <v>109</v>
      </c>
      <c r="D30" s="28" t="s">
        <v>1164</v>
      </c>
      <c r="E30" s="66" t="str">
        <f>HYPERLINK("https://youtu.be/4xENXaub2E8","channel 2")</f>
        <v>channel 2</v>
      </c>
    </row>
    <row r="31">
      <c r="B31" s="28" t="s">
        <v>1169</v>
      </c>
      <c r="C31" s="12" t="s">
        <v>278</v>
      </c>
      <c r="D31" s="28" t="s">
        <v>1166</v>
      </c>
      <c r="E31" s="36" t="str">
        <f>HYPERLINK("https://youtu.be/0yVURUL2XnM","channel 1")</f>
        <v>channel 1</v>
      </c>
    </row>
    <row r="32">
      <c r="B32" s="28" t="s">
        <v>1168</v>
      </c>
      <c r="C32" s="12" t="s">
        <v>77</v>
      </c>
      <c r="D32" s="28" t="s">
        <v>1164</v>
      </c>
      <c r="E32" s="66" t="str">
        <f>HYPERLINK("https://youtu.be/LLpaKpWTYyA","channel 2")</f>
        <v>channel 2</v>
      </c>
    </row>
    <row r="33">
      <c r="B33" s="28" t="s">
        <v>1169</v>
      </c>
      <c r="C33" s="12" t="s">
        <v>103</v>
      </c>
      <c r="D33" s="28" t="s">
        <v>1167</v>
      </c>
      <c r="E33" s="36" t="str">
        <f>HYPERLINK("https://youtu.be/680i-rIGjdM","channel 1")</f>
        <v>channel 1</v>
      </c>
    </row>
    <row r="34">
      <c r="B34" s="28" t="s">
        <v>1168</v>
      </c>
      <c r="C34" s="12" t="s">
        <v>57</v>
      </c>
      <c r="D34" s="28" t="s">
        <v>1166</v>
      </c>
      <c r="E34" s="66" t="str">
        <f>HYPERLINK("https://youtu.be/GbNV8vL678Q","channel 2")</f>
        <v>channel 2</v>
      </c>
    </row>
    <row r="35">
      <c r="B35" s="28" t="s">
        <v>1166</v>
      </c>
      <c r="C35" s="12" t="s">
        <v>375</v>
      </c>
      <c r="D35" s="28" t="s">
        <v>1164</v>
      </c>
      <c r="E35" s="36" t="str">
        <f>HYPERLINK("https://youtu.be/1dZ1GKbgmOE","channel 1")</f>
        <v>channel 1</v>
      </c>
    </row>
    <row r="36">
      <c r="B36" s="28" t="s">
        <v>1168</v>
      </c>
      <c r="C36" s="12" t="s">
        <v>1170</v>
      </c>
      <c r="D36" s="28" t="s">
        <v>1167</v>
      </c>
      <c r="E36" s="66" t="str">
        <f>HYPERLINK("https://youtu.be/vhDmIBGwkWE","channel 2")</f>
        <v>channel 2</v>
      </c>
    </row>
    <row r="37">
      <c r="B37" s="28" t="s">
        <v>1164</v>
      </c>
      <c r="C37" s="12" t="s">
        <v>1171</v>
      </c>
      <c r="D37" s="28" t="s">
        <v>1169</v>
      </c>
      <c r="E37" s="36" t="str">
        <f>HYPERLINK("https://youtu.be/9802wKAa6pg","channel 1")</f>
        <v>channel 1</v>
      </c>
    </row>
    <row r="38">
      <c r="B38" s="28" t="s">
        <v>1166</v>
      </c>
      <c r="C38" s="12" t="s">
        <v>521</v>
      </c>
      <c r="D38" s="28" t="s">
        <v>1167</v>
      </c>
      <c r="E38" s="66" t="str">
        <f>HYPERLINK("https://youtu.be/aFDttHPgGhA","channel 2")</f>
        <v>channel 2</v>
      </c>
    </row>
    <row r="39">
      <c r="B39" s="28" t="s">
        <v>1168</v>
      </c>
      <c r="C39" s="18" t="s">
        <v>46</v>
      </c>
      <c r="D39" s="28" t="s">
        <v>1169</v>
      </c>
      <c r="E39" s="36" t="str">
        <f>HYPERLINK("https://youtu.be/2e-hL0gkwNw","channel 1")</f>
        <v>channel 1</v>
      </c>
    </row>
    <row r="40">
      <c r="B40" s="28" t="s">
        <v>1164</v>
      </c>
      <c r="C40" s="12" t="s">
        <v>460</v>
      </c>
      <c r="D40" s="28" t="s">
        <v>1167</v>
      </c>
      <c r="E40" s="66" t="str">
        <f>HYPERLINK("https://youtu.be/ow89VGMdYOU","channel 2")</f>
        <v>channel 2</v>
      </c>
    </row>
    <row r="41">
      <c r="B41" s="28" t="s">
        <v>1166</v>
      </c>
      <c r="C41" s="12" t="s">
        <v>57</v>
      </c>
      <c r="D41" s="28" t="s">
        <v>1169</v>
      </c>
      <c r="E41" s="36" t="str">
        <f>HYPERLINK("https://youtu.be/aIvCxk8LIHc","channel 1")</f>
        <v>channel 1</v>
      </c>
    </row>
    <row r="42">
      <c r="B42" s="28" t="s">
        <v>1164</v>
      </c>
      <c r="C42" s="12" t="s">
        <v>101</v>
      </c>
      <c r="D42" s="28" t="s">
        <v>1168</v>
      </c>
      <c r="E42" s="66" t="str">
        <f>HYPERLINK("https://youtu.be/aftA9uiED8U","channel 2")</f>
        <v>channel 2</v>
      </c>
    </row>
    <row r="43">
      <c r="B43" s="28" t="s">
        <v>1167</v>
      </c>
      <c r="C43" s="12" t="s">
        <v>40</v>
      </c>
      <c r="D43" s="28" t="s">
        <v>1169</v>
      </c>
      <c r="E43" s="36" t="str">
        <f>HYPERLINK("https://youtu.be/DrC4jNnHEaM","channel 1")</f>
        <v>channel 1</v>
      </c>
    </row>
    <row r="44">
      <c r="B44" s="28" t="s">
        <v>1166</v>
      </c>
      <c r="C44" s="12" t="s">
        <v>375</v>
      </c>
      <c r="D44" s="28" t="s">
        <v>1168</v>
      </c>
      <c r="E44" s="66" t="str">
        <f>HYPERLINK("https://youtu.be/yd4J3PIiQOM","channel 2")</f>
        <v>channel 2</v>
      </c>
    </row>
    <row r="45">
      <c r="B45" s="58" t="s">
        <v>971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8" t="s">
        <v>1172</v>
      </c>
      <c r="C47" s="12" t="s">
        <v>322</v>
      </c>
      <c r="D47" s="28" t="s">
        <v>1173</v>
      </c>
      <c r="E47" s="36" t="str">
        <f>HYPERLINK("https://youtu.be/DEbAVNUN6Cc","channel 1")</f>
        <v>channel 1</v>
      </c>
    </row>
    <row r="48">
      <c r="B48" s="28" t="s">
        <v>236</v>
      </c>
      <c r="C48" s="12" t="s">
        <v>522</v>
      </c>
      <c r="D48" s="28" t="s">
        <v>1024</v>
      </c>
      <c r="E48" s="66" t="str">
        <f>HYPERLINK("https://youtu.be/vDzsqGcr7ys","channel 2")</f>
        <v>channel 2</v>
      </c>
    </row>
    <row r="49">
      <c r="B49" s="28" t="s">
        <v>1174</v>
      </c>
      <c r="C49" s="12" t="s">
        <v>93</v>
      </c>
      <c r="D49" s="28" t="s">
        <v>1172</v>
      </c>
      <c r="E49" s="36" t="str">
        <f>HYPERLINK("https://youtu.be/xIOUrZ6Qvd8","channel 1")</f>
        <v>channel 1</v>
      </c>
    </row>
    <row r="50">
      <c r="B50" s="28" t="s">
        <v>236</v>
      </c>
      <c r="C50" s="12" t="s">
        <v>24</v>
      </c>
      <c r="D50" s="28" t="s">
        <v>1173</v>
      </c>
      <c r="E50" s="66" t="str">
        <f>HYPERLINK("https://youtu.be/fL_XhFI7yhQ","channel 2")</f>
        <v>channel 2</v>
      </c>
    </row>
    <row r="51">
      <c r="B51" s="28" t="s">
        <v>1174</v>
      </c>
      <c r="C51" s="12" t="s">
        <v>57</v>
      </c>
      <c r="D51" s="28" t="s">
        <v>1024</v>
      </c>
      <c r="E51" s="36" t="str">
        <f>HYPERLINK("https://youtu.be/V0DDeB9FzuI","channel 1")</f>
        <v>channel 1</v>
      </c>
    </row>
    <row r="52">
      <c r="B52" s="28" t="s">
        <v>236</v>
      </c>
      <c r="C52" s="12" t="s">
        <v>322</v>
      </c>
      <c r="D52" s="28" t="s">
        <v>1172</v>
      </c>
      <c r="E52" s="66" t="str">
        <f>HYPERLINK("https://youtu.be/c87IFCm8meY","channel 2")</f>
        <v>channel 2</v>
      </c>
    </row>
    <row r="53">
      <c r="B53" s="28" t="s">
        <v>1174</v>
      </c>
      <c r="C53" s="12" t="s">
        <v>108</v>
      </c>
      <c r="D53" s="28" t="s">
        <v>1173</v>
      </c>
      <c r="E53" s="36" t="str">
        <f>HYPERLINK("https://youtu.be/V1Jvf65e7tU","channel 1")</f>
        <v>channel 1</v>
      </c>
    </row>
    <row r="54">
      <c r="B54" s="28" t="s">
        <v>1024</v>
      </c>
      <c r="C54" s="12" t="s">
        <v>99</v>
      </c>
      <c r="D54" s="28" t="s">
        <v>1172</v>
      </c>
      <c r="E54" s="66" t="str">
        <f>HYPERLINK("https://youtu.be/vDGIiy4yZYU","channel 2")</f>
        <v>channel 2</v>
      </c>
    </row>
    <row r="55">
      <c r="B55" s="28" t="s">
        <v>1174</v>
      </c>
      <c r="C55" s="12" t="s">
        <v>569</v>
      </c>
      <c r="D55" s="28" t="s">
        <v>236</v>
      </c>
      <c r="E55" s="36" t="str">
        <f>HYPERLINK("https://youtu.be/sPaVvH8sKjc","channel 1")</f>
        <v>channel 1</v>
      </c>
    </row>
    <row r="56">
      <c r="B56" s="28" t="s">
        <v>1024</v>
      </c>
      <c r="C56" s="12" t="s">
        <v>24</v>
      </c>
      <c r="D56" s="28" t="s">
        <v>1173</v>
      </c>
      <c r="E56" s="66" t="str">
        <f>HYPERLINK("https://youtu.be/7o4CfPuQ9v0","channel 2")</f>
        <v>channel 2</v>
      </c>
    </row>
    <row r="57">
      <c r="B57" s="28" t="s">
        <v>1173</v>
      </c>
      <c r="C57" s="12" t="s">
        <v>538</v>
      </c>
      <c r="D57" s="28" t="s">
        <v>1172</v>
      </c>
      <c r="E57" s="36" t="str">
        <f>HYPERLINK("https://youtu.be/owPBO_GKzyE","channel 1")</f>
        <v>channel 1</v>
      </c>
    </row>
    <row r="58">
      <c r="B58" s="28" t="s">
        <v>1024</v>
      </c>
      <c r="C58" s="12" t="s">
        <v>145</v>
      </c>
      <c r="D58" s="28" t="s">
        <v>236</v>
      </c>
      <c r="E58" s="66" t="str">
        <f>HYPERLINK("https://youtu.be/WeTORnBidzY","channel 2")</f>
        <v>channel 2</v>
      </c>
    </row>
    <row r="59">
      <c r="B59" s="28" t="s">
        <v>1172</v>
      </c>
      <c r="C59" s="12" t="s">
        <v>132</v>
      </c>
      <c r="D59" s="28" t="s">
        <v>1174</v>
      </c>
      <c r="E59" s="36" t="str">
        <f>HYPERLINK("https://youtu.be/qyTrcKp4HrY","channel 1")</f>
        <v>channel 1</v>
      </c>
    </row>
    <row r="60">
      <c r="B60" s="28" t="s">
        <v>1173</v>
      </c>
      <c r="C60" s="12" t="s">
        <v>190</v>
      </c>
      <c r="D60" s="28" t="s">
        <v>236</v>
      </c>
      <c r="E60" s="66" t="str">
        <f>HYPERLINK("https://youtu.be/0uqe-l1eIL8","channel 2")</f>
        <v>channel 2</v>
      </c>
    </row>
    <row r="61">
      <c r="B61" s="28" t="s">
        <v>1024</v>
      </c>
      <c r="C61" s="12" t="s">
        <v>311</v>
      </c>
      <c r="D61" s="28" t="s">
        <v>1174</v>
      </c>
      <c r="E61" s="36" t="str">
        <f>HYPERLINK("https://youtu.be/6oOK4dzoPAs","channel 1")</f>
        <v>channel 1</v>
      </c>
    </row>
    <row r="62">
      <c r="B62" s="28" t="s">
        <v>1172</v>
      </c>
      <c r="C62" s="18" t="s">
        <v>97</v>
      </c>
      <c r="D62" s="28" t="s">
        <v>236</v>
      </c>
      <c r="E62" s="66" t="str">
        <f>HYPERLINK("https://youtu.be/hqLIDOxIs7c","channel 2")</f>
        <v>channel 2</v>
      </c>
    </row>
    <row r="63">
      <c r="B63" s="28" t="s">
        <v>1173</v>
      </c>
      <c r="C63" s="12" t="s">
        <v>596</v>
      </c>
      <c r="D63" s="28" t="s">
        <v>1174</v>
      </c>
      <c r="E63" s="36" t="str">
        <f>HYPERLINK("https://youtu.be/j7mvo_rn0kQ","channel 1")</f>
        <v>channel 1</v>
      </c>
    </row>
    <row r="64">
      <c r="B64" s="28" t="s">
        <v>1172</v>
      </c>
      <c r="C64" s="12" t="s">
        <v>45</v>
      </c>
      <c r="D64" s="28" t="s">
        <v>1024</v>
      </c>
      <c r="E64" s="66" t="str">
        <f>HYPERLINK("https://youtu.be/M6xBuTzHFpk","channel 2")</f>
        <v>channel 2</v>
      </c>
    </row>
    <row r="65">
      <c r="B65" s="28" t="s">
        <v>236</v>
      </c>
      <c r="C65" s="12" t="s">
        <v>228</v>
      </c>
      <c r="D65" s="28" t="s">
        <v>1174</v>
      </c>
      <c r="E65" s="36" t="str">
        <f>HYPERLINK("https://youtu.be/iyr49ulc84k","channel 1")</f>
        <v>channel 1</v>
      </c>
    </row>
    <row r="66">
      <c r="B66" s="28" t="s">
        <v>1173</v>
      </c>
      <c r="C66" s="12" t="s">
        <v>103</v>
      </c>
      <c r="D66" s="28" t="s">
        <v>1024</v>
      </c>
      <c r="E66" s="66" t="str">
        <f>HYPERLINK("https://youtu.be/znHohGbmHd0","channel 2")</f>
        <v>channel 2</v>
      </c>
    </row>
    <row r="67">
      <c r="B67" s="69" t="s">
        <v>240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8" t="s">
        <v>1175</v>
      </c>
      <c r="C69" s="12" t="s">
        <v>103</v>
      </c>
      <c r="D69" s="28" t="s">
        <v>1176</v>
      </c>
      <c r="E69" s="36" t="str">
        <f>HYPERLINK("https://youtu.be/dE9h8sP3bKA","channel 1")</f>
        <v>channel 1</v>
      </c>
    </row>
    <row r="70">
      <c r="B70" s="28" t="s">
        <v>999</v>
      </c>
      <c r="C70" s="12" t="s">
        <v>37</v>
      </c>
      <c r="D70" s="28" t="s">
        <v>994</v>
      </c>
      <c r="E70" s="66" t="str">
        <f>HYPERLINK("https://youtu.be/mtsZtoXoTQE","channel 2")</f>
        <v>channel 2</v>
      </c>
    </row>
    <row r="71">
      <c r="B71" s="28" t="s">
        <v>1177</v>
      </c>
      <c r="C71" s="12" t="s">
        <v>148</v>
      </c>
      <c r="D71" s="28" t="s">
        <v>1175</v>
      </c>
      <c r="E71" s="36" t="str">
        <f>HYPERLINK("https://youtu.be/zChvALZopBY","channel 1")</f>
        <v>channel 1</v>
      </c>
    </row>
    <row r="72">
      <c r="B72" s="28" t="s">
        <v>999</v>
      </c>
      <c r="C72" s="12" t="s">
        <v>59</v>
      </c>
      <c r="D72" s="28" t="s">
        <v>1176</v>
      </c>
      <c r="E72" s="66" t="str">
        <f>HYPERLINK("https://youtu.be/8OcTxG0gRdA","channel 2")</f>
        <v>channel 2</v>
      </c>
    </row>
    <row r="73">
      <c r="B73" s="28" t="s">
        <v>1177</v>
      </c>
      <c r="C73" s="12" t="s">
        <v>37</v>
      </c>
      <c r="D73" s="28" t="s">
        <v>994</v>
      </c>
      <c r="E73" s="36" t="str">
        <f>HYPERLINK("https://youtu.be/Kab1uHCG9S8","channel 1")</f>
        <v>channel 1</v>
      </c>
    </row>
    <row r="74">
      <c r="B74" s="28" t="s">
        <v>999</v>
      </c>
      <c r="C74" s="12" t="s">
        <v>145</v>
      </c>
      <c r="D74" s="28" t="s">
        <v>1175</v>
      </c>
      <c r="E74" s="66" t="str">
        <f>HYPERLINK("https://youtu.be/OxPLPbB9hoY","channel 2")</f>
        <v>channel 2</v>
      </c>
    </row>
    <row r="75">
      <c r="B75" s="28" t="s">
        <v>1177</v>
      </c>
      <c r="C75" s="12" t="s">
        <v>59</v>
      </c>
      <c r="D75" s="28" t="s">
        <v>1176</v>
      </c>
      <c r="E75" s="36" t="str">
        <f>HYPERLINK("https://youtu.be/JQIiCr3_El0","channel 1")</f>
        <v>channel 1</v>
      </c>
    </row>
    <row r="76">
      <c r="B76" s="28" t="s">
        <v>994</v>
      </c>
      <c r="C76" s="12" t="s">
        <v>104</v>
      </c>
      <c r="D76" s="28" t="s">
        <v>1175</v>
      </c>
      <c r="E76" s="66" t="str">
        <f>HYPERLINK("https://youtu.be/W7M7gtB2ctY","channel 2")</f>
        <v>channel 2</v>
      </c>
    </row>
    <row r="77">
      <c r="B77" s="28" t="s">
        <v>1177</v>
      </c>
      <c r="C77" s="12" t="s">
        <v>61</v>
      </c>
      <c r="D77" s="28" t="s">
        <v>999</v>
      </c>
      <c r="E77" s="50" t="s">
        <v>26</v>
      </c>
    </row>
    <row r="78">
      <c r="B78" s="28" t="s">
        <v>994</v>
      </c>
      <c r="C78" s="12" t="s">
        <v>338</v>
      </c>
      <c r="D78" s="28" t="s">
        <v>1176</v>
      </c>
      <c r="E78" s="66" t="str">
        <f>HYPERLINK("https://youtu.be/iHYKb40aBic","channel 2")</f>
        <v>channel 2</v>
      </c>
    </row>
    <row r="79">
      <c r="B79" s="28" t="s">
        <v>1176</v>
      </c>
      <c r="C79" s="12" t="s">
        <v>103</v>
      </c>
      <c r="D79" s="28" t="s">
        <v>1175</v>
      </c>
      <c r="E79" s="36" t="str">
        <f>HYPERLINK("https://youtu.be/ffgEuoHyAfk","channel 1")</f>
        <v>channel 1</v>
      </c>
    </row>
    <row r="80">
      <c r="B80" s="28" t="s">
        <v>994</v>
      </c>
      <c r="C80" s="12" t="s">
        <v>103</v>
      </c>
      <c r="D80" s="28" t="s">
        <v>999</v>
      </c>
      <c r="E80" s="66" t="str">
        <f>HYPERLINK("https://youtu.be/vpaJ321rhSE","channel 2")</f>
        <v>channel 2</v>
      </c>
    </row>
    <row r="81">
      <c r="B81" s="28" t="s">
        <v>1175</v>
      </c>
      <c r="C81" s="12" t="s">
        <v>138</v>
      </c>
      <c r="D81" s="28" t="s">
        <v>1177</v>
      </c>
      <c r="E81" s="36" t="str">
        <f>HYPERLINK("https://youtu.be/PbmAWovCOuI","channel 1")</f>
        <v>channel 1</v>
      </c>
    </row>
    <row r="82">
      <c r="B82" s="28" t="s">
        <v>1176</v>
      </c>
      <c r="C82" s="12" t="s">
        <v>85</v>
      </c>
      <c r="D82" s="28" t="s">
        <v>999</v>
      </c>
      <c r="E82" s="66" t="str">
        <f>HYPERLINK("https://youtu.be/6Rn7EY40U2w","channel 2")</f>
        <v>channel 2</v>
      </c>
    </row>
    <row r="83">
      <c r="B83" s="28" t="s">
        <v>994</v>
      </c>
      <c r="C83" s="12" t="s">
        <v>1178</v>
      </c>
      <c r="D83" s="28" t="s">
        <v>1177</v>
      </c>
      <c r="E83" s="36" t="str">
        <f>HYPERLINK("https://youtu.be/Uwid8uNnwtg","channel 1")</f>
        <v>channel 1</v>
      </c>
    </row>
    <row r="84">
      <c r="B84" s="28" t="s">
        <v>1175</v>
      </c>
      <c r="C84" s="12" t="s">
        <v>56</v>
      </c>
      <c r="D84" s="28" t="s">
        <v>999</v>
      </c>
      <c r="E84" s="66" t="str">
        <f>HYPERLINK("https://youtu.be/-mCUeB_taic","channel 2")</f>
        <v>channel 2</v>
      </c>
    </row>
    <row r="85">
      <c r="B85" s="28" t="s">
        <v>1176</v>
      </c>
      <c r="C85" s="12" t="s">
        <v>124</v>
      </c>
      <c r="D85" s="28" t="s">
        <v>1177</v>
      </c>
      <c r="E85" s="36" t="str">
        <f>HYPERLINK("https://youtu.be/dy3OFRX8sKw","channel 1")</f>
        <v>channel 1</v>
      </c>
    </row>
    <row r="86">
      <c r="B86" s="28" t="s">
        <v>1175</v>
      </c>
      <c r="C86" s="12" t="s">
        <v>190</v>
      </c>
      <c r="D86" s="28" t="s">
        <v>994</v>
      </c>
      <c r="E86" s="66" t="str">
        <f>HYPERLINK("https://youtu.be/tZ8VrWZqy0k","channel 2")</f>
        <v>channel 2</v>
      </c>
    </row>
    <row r="87">
      <c r="B87" s="28" t="s">
        <v>999</v>
      </c>
      <c r="C87" s="12" t="s">
        <v>56</v>
      </c>
      <c r="D87" s="28" t="s">
        <v>1177</v>
      </c>
      <c r="E87" s="36" t="str">
        <f>HYPERLINK("https://youtu.be/uvI9rfYYnlU","channel 1")</f>
        <v>channel 1</v>
      </c>
    </row>
    <row r="88">
      <c r="B88" s="28" t="s">
        <v>1176</v>
      </c>
      <c r="C88" s="12" t="s">
        <v>347</v>
      </c>
      <c r="D88" s="28" t="s">
        <v>994</v>
      </c>
      <c r="E88" s="66" t="str">
        <f>HYPERLINK("https://youtu.be/iyv-nRJ9uDE","channel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703</v>
      </c>
      <c r="C3" s="12" t="s">
        <v>27</v>
      </c>
      <c r="D3" s="28" t="s">
        <v>1179</v>
      </c>
      <c r="E3" s="36" t="str">
        <f>HYPERLINK("https://youtu.be/yq8i-0G1Vrs","channel 1")</f>
        <v>channel 1</v>
      </c>
    </row>
    <row r="4">
      <c r="B4" s="28" t="s">
        <v>1180</v>
      </c>
      <c r="C4" s="12" t="s">
        <v>210</v>
      </c>
      <c r="D4" s="28" t="s">
        <v>1181</v>
      </c>
      <c r="E4" s="66" t="str">
        <f>HYPERLINK("https://youtu.be/yDDC4nkeDhE","channel 2")</f>
        <v>channel 2</v>
      </c>
    </row>
    <row r="5">
      <c r="B5" s="28" t="s">
        <v>23</v>
      </c>
      <c r="C5" s="12" t="s">
        <v>522</v>
      </c>
      <c r="D5" s="28" t="s">
        <v>703</v>
      </c>
      <c r="E5" s="36" t="str">
        <f>HYPERLINK("https://youtu.be/ptj00hWz1rQ","channel 1")</f>
        <v>channel 1</v>
      </c>
    </row>
    <row r="6">
      <c r="B6" s="28" t="s">
        <v>1180</v>
      </c>
      <c r="C6" s="12" t="s">
        <v>61</v>
      </c>
      <c r="D6" s="28" t="s">
        <v>1179</v>
      </c>
      <c r="E6" s="66" t="str">
        <f>HYPERLINK("https://youtu.be/bVFKkuGMhlU","channel 2")</f>
        <v>channel 2</v>
      </c>
    </row>
    <row r="7">
      <c r="B7" s="28" t="s">
        <v>23</v>
      </c>
      <c r="C7" s="12" t="s">
        <v>38</v>
      </c>
      <c r="D7" s="28" t="s">
        <v>1181</v>
      </c>
      <c r="E7" s="36" t="str">
        <f>HYPERLINK("https://youtu.be/dspgfB3M6Ko","channel 1")</f>
        <v>channel 1</v>
      </c>
    </row>
    <row r="8">
      <c r="B8" s="28" t="s">
        <v>1180</v>
      </c>
      <c r="C8" s="12" t="s">
        <v>32</v>
      </c>
      <c r="D8" s="28" t="s">
        <v>703</v>
      </c>
      <c r="E8" s="66" t="str">
        <f>HYPERLINK("https://youtu.be/CdIFgeReNO4","channel 2")</f>
        <v>channel 2</v>
      </c>
    </row>
    <row r="9">
      <c r="B9" s="28" t="s">
        <v>23</v>
      </c>
      <c r="C9" s="12" t="s">
        <v>461</v>
      </c>
      <c r="D9" s="28" t="s">
        <v>1179</v>
      </c>
      <c r="E9" s="36" t="str">
        <f>HYPERLINK("https://youtu.be/Ct0ygPPwJ64","channel 1")</f>
        <v>channel 1</v>
      </c>
    </row>
    <row r="10">
      <c r="B10" s="28" t="s">
        <v>1181</v>
      </c>
      <c r="C10" s="12" t="s">
        <v>30</v>
      </c>
      <c r="D10" s="28" t="s">
        <v>703</v>
      </c>
      <c r="E10" s="66" t="str">
        <f>HYPERLINK("https://youtu.be/1ndqDeP8LFw","channel 2")</f>
        <v>channel 2</v>
      </c>
    </row>
    <row r="11">
      <c r="B11" s="28" t="s">
        <v>23</v>
      </c>
      <c r="C11" s="12" t="s">
        <v>328</v>
      </c>
      <c r="D11" s="28" t="s">
        <v>1180</v>
      </c>
      <c r="E11" s="50" t="s">
        <v>26</v>
      </c>
    </row>
    <row r="12">
      <c r="B12" s="28" t="s">
        <v>1181</v>
      </c>
      <c r="C12" s="12" t="s">
        <v>56</v>
      </c>
      <c r="D12" s="28" t="s">
        <v>1179</v>
      </c>
      <c r="E12" s="66" t="str">
        <f>HYPERLINK("https://youtu.be/81CN7MJnuJU","channel 2")</f>
        <v>channel 2</v>
      </c>
    </row>
    <row r="13">
      <c r="B13" s="28" t="s">
        <v>1179</v>
      </c>
      <c r="C13" s="12" t="s">
        <v>37</v>
      </c>
      <c r="D13" s="28" t="s">
        <v>703</v>
      </c>
      <c r="E13" s="36" t="str">
        <f>HYPERLINK("https://youtu.be/-j9_OWyEy4Y","channel 1")</f>
        <v>channel 1</v>
      </c>
    </row>
    <row r="14">
      <c r="B14" s="28" t="s">
        <v>1181</v>
      </c>
      <c r="C14" s="12" t="s">
        <v>340</v>
      </c>
      <c r="D14" s="28" t="s">
        <v>1180</v>
      </c>
      <c r="E14" s="66" t="str">
        <f>HYPERLINK("https://youtu.be/PSjPnKOiTBY","channel 2")</f>
        <v>channel 2</v>
      </c>
    </row>
    <row r="15">
      <c r="B15" s="28" t="s">
        <v>703</v>
      </c>
      <c r="C15" s="12" t="s">
        <v>124</v>
      </c>
      <c r="D15" s="28" t="s">
        <v>23</v>
      </c>
      <c r="E15" s="36" t="str">
        <f>HYPERLINK("https://youtu.be/7mPy04wqTVY","channel 1")</f>
        <v>channel 1</v>
      </c>
    </row>
    <row r="16">
      <c r="B16" s="28" t="s">
        <v>1179</v>
      </c>
      <c r="C16" s="12" t="s">
        <v>759</v>
      </c>
      <c r="D16" s="28" t="s">
        <v>1180</v>
      </c>
      <c r="E16" s="66" t="str">
        <f>HYPERLINK("https://youtu.be/me5mQCkZhnA","channel 2")</f>
        <v>channel 2</v>
      </c>
    </row>
    <row r="17">
      <c r="B17" s="28" t="s">
        <v>1181</v>
      </c>
      <c r="C17" s="12" t="s">
        <v>322</v>
      </c>
      <c r="D17" s="28" t="s">
        <v>23</v>
      </c>
      <c r="E17" s="36" t="str">
        <f>HYPERLINK("https://youtu.be/vd7UL3uy5Jg","channel 1")</f>
        <v>channel 1</v>
      </c>
    </row>
    <row r="18">
      <c r="B18" s="28" t="s">
        <v>703</v>
      </c>
      <c r="C18" s="12" t="s">
        <v>146</v>
      </c>
      <c r="D18" s="28" t="s">
        <v>1180</v>
      </c>
      <c r="E18" s="66" t="str">
        <f>HYPERLINK("https://youtu.be/Kdw4yuogRas","channel 2")</f>
        <v>channel 2</v>
      </c>
    </row>
    <row r="19">
      <c r="B19" s="28" t="s">
        <v>1179</v>
      </c>
      <c r="C19" s="12" t="s">
        <v>103</v>
      </c>
      <c r="D19" s="28" t="s">
        <v>23</v>
      </c>
      <c r="E19" s="36" t="str">
        <f>HYPERLINK("https://youtu.be/BYd1i1kwdks","channel 1")</f>
        <v>channel 1</v>
      </c>
    </row>
    <row r="20">
      <c r="B20" s="28" t="s">
        <v>703</v>
      </c>
      <c r="C20" s="12" t="s">
        <v>278</v>
      </c>
      <c r="D20" s="28" t="s">
        <v>1181</v>
      </c>
      <c r="E20" s="66" t="str">
        <f>HYPERLINK("https://youtu.be/SppJfAb6xKs","channel 2")</f>
        <v>channel 2</v>
      </c>
    </row>
    <row r="21">
      <c r="B21" s="28" t="s">
        <v>1180</v>
      </c>
      <c r="C21" s="12" t="s">
        <v>1183</v>
      </c>
      <c r="D21" s="28" t="s">
        <v>23</v>
      </c>
      <c r="E21" s="36" t="str">
        <f>HYPERLINK("https://youtu.be/2dniWBeAQ-g","channel 1")</f>
        <v>channel 1</v>
      </c>
    </row>
    <row r="22">
      <c r="B22" s="28" t="s">
        <v>1179</v>
      </c>
      <c r="C22" s="12" t="s">
        <v>821</v>
      </c>
      <c r="D22" s="28" t="s">
        <v>1181</v>
      </c>
      <c r="E22" s="66" t="str">
        <f>HYPERLINK("https://youtu.be/JbZ0BSnY7bA","channel 2")</f>
        <v>channel 2</v>
      </c>
    </row>
    <row r="23">
      <c r="B23" s="58" t="s">
        <v>41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907</v>
      </c>
      <c r="C25" s="12" t="s">
        <v>46</v>
      </c>
      <c r="D25" s="28" t="s">
        <v>1185</v>
      </c>
      <c r="E25" s="36" t="str">
        <f>HYPERLINK("https://youtu.be/-b3XhJ4MDGI","channel 1")</f>
        <v>channel 1</v>
      </c>
    </row>
    <row r="26">
      <c r="B26" s="28" t="s">
        <v>1186</v>
      </c>
      <c r="C26" s="12" t="s">
        <v>10</v>
      </c>
      <c r="D26" s="28" t="s">
        <v>1051</v>
      </c>
      <c r="E26" s="66" t="str">
        <f>HYPERLINK("https://youtu.be/mkd72XW1sh8","channel 2")</f>
        <v>channel 2</v>
      </c>
    </row>
    <row r="27">
      <c r="B27" s="28" t="s">
        <v>1187</v>
      </c>
      <c r="C27" s="12" t="s">
        <v>337</v>
      </c>
      <c r="D27" s="28" t="s">
        <v>907</v>
      </c>
      <c r="E27" s="36" t="str">
        <f>HYPERLINK("https://youtu.be/0ephFN0DFQI","channel 1")</f>
        <v>channel 1</v>
      </c>
    </row>
    <row r="28">
      <c r="B28" s="28" t="s">
        <v>1186</v>
      </c>
      <c r="C28" s="12" t="s">
        <v>32</v>
      </c>
      <c r="D28" s="28" t="s">
        <v>1185</v>
      </c>
      <c r="E28" s="66" t="str">
        <f>HYPERLINK("https://youtu.be/bxQFAf-ZgYU","channel 2")</f>
        <v>channel 2</v>
      </c>
    </row>
    <row r="29">
      <c r="B29" s="28" t="s">
        <v>1187</v>
      </c>
      <c r="C29" s="12" t="s">
        <v>103</v>
      </c>
      <c r="D29" s="28" t="s">
        <v>1051</v>
      </c>
      <c r="E29" s="36" t="str">
        <f>HYPERLINK("https://youtu.be/Yd7ieDkYPno","channel 1")</f>
        <v>channel 1</v>
      </c>
    </row>
    <row r="30">
      <c r="B30" s="28" t="s">
        <v>1186</v>
      </c>
      <c r="C30" s="12" t="s">
        <v>328</v>
      </c>
      <c r="D30" s="28" t="s">
        <v>907</v>
      </c>
      <c r="E30" s="66" t="str">
        <f>HYPERLINK("https://youtu.be/zVMlHfCGUOk","channel 2")</f>
        <v>channel 2</v>
      </c>
    </row>
    <row r="31">
      <c r="B31" s="28" t="s">
        <v>1187</v>
      </c>
      <c r="C31" s="12" t="s">
        <v>103</v>
      </c>
      <c r="D31" s="28" t="s">
        <v>1185</v>
      </c>
      <c r="E31" s="36" t="str">
        <f>HYPERLINK("https://youtu.be/UcpSolKMWls","channel 1")</f>
        <v>channel 1</v>
      </c>
    </row>
    <row r="32">
      <c r="B32" s="28" t="s">
        <v>1051</v>
      </c>
      <c r="C32" s="12" t="s">
        <v>110</v>
      </c>
      <c r="D32" s="28" t="s">
        <v>907</v>
      </c>
      <c r="E32" s="66" t="str">
        <f>HYPERLINK("https://youtu.be/Y9BJstKzcAA","channel 2")</f>
        <v>channel 2</v>
      </c>
    </row>
    <row r="33">
      <c r="B33" s="28" t="s">
        <v>1187</v>
      </c>
      <c r="C33" s="12" t="s">
        <v>268</v>
      </c>
      <c r="D33" s="28" t="s">
        <v>1186</v>
      </c>
      <c r="E33" s="36" t="str">
        <f>HYPERLINK("https://youtu.be/Kn__IWVTVi4","channel 1")</f>
        <v>channel 1</v>
      </c>
    </row>
    <row r="34">
      <c r="B34" s="28" t="s">
        <v>1051</v>
      </c>
      <c r="C34" s="12" t="s">
        <v>90</v>
      </c>
      <c r="D34" s="28" t="s">
        <v>1185</v>
      </c>
      <c r="E34" s="66" t="str">
        <f>HYPERLINK("https://youtu.be/-qd5Z2nkA1U","channel 2")</f>
        <v>channel 2</v>
      </c>
    </row>
    <row r="35">
      <c r="B35" s="28" t="s">
        <v>1185</v>
      </c>
      <c r="C35" s="12" t="s">
        <v>214</v>
      </c>
      <c r="D35" s="28" t="s">
        <v>907</v>
      </c>
      <c r="E35" s="36" t="str">
        <f>HYPERLINK("https://youtu.be/WETPukxsu_4","channel 1")</f>
        <v>channel 1</v>
      </c>
    </row>
    <row r="36">
      <c r="B36" s="28" t="s">
        <v>1051</v>
      </c>
      <c r="C36" s="12" t="s">
        <v>188</v>
      </c>
      <c r="D36" s="28" t="s">
        <v>1186</v>
      </c>
      <c r="E36" s="66" t="str">
        <f>HYPERLINK("https://youtu.be/uoymO7tbPvM","channel 2")</f>
        <v>channel 2</v>
      </c>
    </row>
    <row r="37">
      <c r="B37" s="28" t="s">
        <v>907</v>
      </c>
      <c r="C37" s="12" t="s">
        <v>42</v>
      </c>
      <c r="D37" s="28" t="s">
        <v>1187</v>
      </c>
      <c r="E37" s="36" t="str">
        <f>HYPERLINK("https://youtu.be/CxSjdEKSGCk","channel 1")</f>
        <v>channel 1</v>
      </c>
    </row>
    <row r="38">
      <c r="B38" s="28" t="s">
        <v>1185</v>
      </c>
      <c r="C38" s="12" t="s">
        <v>309</v>
      </c>
      <c r="D38" s="28" t="s">
        <v>1186</v>
      </c>
      <c r="E38" s="66" t="str">
        <f>HYPERLINK("https://youtu.be/gCshjk60m6U","channel 2")</f>
        <v>channel 2</v>
      </c>
    </row>
    <row r="39">
      <c r="B39" s="28" t="s">
        <v>1051</v>
      </c>
      <c r="C39" s="18" t="s">
        <v>47</v>
      </c>
      <c r="D39" s="28" t="s">
        <v>1187</v>
      </c>
      <c r="E39" s="36" t="str">
        <f>HYPERLINK("https://youtu.be/hJnJK8zMprc","channel 1")</f>
        <v>channel 1</v>
      </c>
    </row>
    <row r="40">
      <c r="B40" s="28" t="s">
        <v>907</v>
      </c>
      <c r="C40" s="12" t="s">
        <v>280</v>
      </c>
      <c r="D40" s="28" t="s">
        <v>1186</v>
      </c>
      <c r="E40" s="66" t="str">
        <f>HYPERLINK("https://youtu.be/89w2I4-APjY","channel 2")</f>
        <v>channel 2</v>
      </c>
    </row>
    <row r="41">
      <c r="B41" s="28" t="s">
        <v>1185</v>
      </c>
      <c r="C41" s="12" t="s">
        <v>103</v>
      </c>
      <c r="D41" s="28" t="s">
        <v>1187</v>
      </c>
      <c r="E41" s="36" t="str">
        <f>HYPERLINK("https://youtu.be/jHk-c-0J52g","channel 1")</f>
        <v>channel 1</v>
      </c>
    </row>
    <row r="42">
      <c r="B42" s="28" t="s">
        <v>907</v>
      </c>
      <c r="C42" s="12" t="s">
        <v>180</v>
      </c>
      <c r="D42" s="28" t="s">
        <v>1051</v>
      </c>
      <c r="E42" s="66" t="str">
        <f>HYPERLINK("https://youtu.be/kRjRAZYGH0E","channel 2")</f>
        <v>channel 2</v>
      </c>
    </row>
    <row r="43">
      <c r="B43" s="28" t="s">
        <v>1186</v>
      </c>
      <c r="C43" s="12" t="s">
        <v>246</v>
      </c>
      <c r="D43" s="28" t="s">
        <v>1187</v>
      </c>
      <c r="E43" s="36" t="str">
        <f>HYPERLINK("https://youtu.be/JB2_6m9J9Gs","channel 1")</f>
        <v>channel 1</v>
      </c>
    </row>
    <row r="44">
      <c r="B44" s="28" t="s">
        <v>1185</v>
      </c>
      <c r="C44" s="12" t="s">
        <v>85</v>
      </c>
      <c r="D44" s="28" t="s">
        <v>1051</v>
      </c>
      <c r="E44" s="66" t="str">
        <f>HYPERLINK("https://youtu.be/Ee8wfnc4ZoY","channel 2")</f>
        <v>channel 2</v>
      </c>
    </row>
    <row r="45">
      <c r="B45" s="58" t="s">
        <v>202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8" t="s">
        <v>1189</v>
      </c>
      <c r="C47" s="12" t="s">
        <v>135</v>
      </c>
      <c r="D47" s="28" t="s">
        <v>1120</v>
      </c>
      <c r="E47" s="36" t="str">
        <f>HYPERLINK("https://youtu.be/RmAoSXMa0Uo","channel 1")</f>
        <v>channel 1</v>
      </c>
    </row>
    <row r="48">
      <c r="B48" s="28" t="s">
        <v>803</v>
      </c>
      <c r="C48" s="12" t="s">
        <v>522</v>
      </c>
      <c r="D48" s="28" t="s">
        <v>1190</v>
      </c>
      <c r="E48" s="66" t="str">
        <f>HYPERLINK("https://youtu.be/634ueb4kaP8","channel 2")</f>
        <v>channel 2</v>
      </c>
    </row>
    <row r="49">
      <c r="B49" s="28" t="s">
        <v>1192</v>
      </c>
      <c r="C49" s="12" t="s">
        <v>211</v>
      </c>
      <c r="D49" s="28" t="s">
        <v>1189</v>
      </c>
      <c r="E49" s="36" t="str">
        <f>HYPERLINK("https://youtu.be/EnBImqxWeRg","channel 1")</f>
        <v>channel 1</v>
      </c>
    </row>
    <row r="50">
      <c r="B50" s="28" t="s">
        <v>803</v>
      </c>
      <c r="C50" s="12" t="s">
        <v>452</v>
      </c>
      <c r="D50" s="28" t="s">
        <v>1120</v>
      </c>
      <c r="E50" s="66" t="str">
        <f>HYPERLINK("https://youtu.be/Jn2EeLr8qdE","channel 2")</f>
        <v>channel 2</v>
      </c>
    </row>
    <row r="51">
      <c r="B51" s="28" t="s">
        <v>1192</v>
      </c>
      <c r="C51" s="12" t="s">
        <v>145</v>
      </c>
      <c r="D51" s="28" t="s">
        <v>1190</v>
      </c>
      <c r="E51" s="36" t="str">
        <f>HYPERLINK("https://youtu.be/GYusVb_543M","channel 1")</f>
        <v>channel 1</v>
      </c>
    </row>
    <row r="52">
      <c r="B52" s="28" t="s">
        <v>803</v>
      </c>
      <c r="C52" s="12" t="s">
        <v>18</v>
      </c>
      <c r="D52" s="28" t="s">
        <v>1189</v>
      </c>
      <c r="E52" s="66" t="str">
        <f>HYPERLINK("https://youtu.be/43Yfh4RkPk0","channel 2")</f>
        <v>channel 2</v>
      </c>
    </row>
    <row r="53">
      <c r="B53" s="28" t="s">
        <v>1192</v>
      </c>
      <c r="C53" s="12" t="s">
        <v>213</v>
      </c>
      <c r="D53" s="28" t="s">
        <v>1120</v>
      </c>
      <c r="E53" s="36" t="str">
        <f>HYPERLINK("https://youtu.be/O1abdj4gkXY","channel 1")</f>
        <v>channel 1</v>
      </c>
    </row>
    <row r="54">
      <c r="B54" s="28" t="s">
        <v>1190</v>
      </c>
      <c r="C54" s="12" t="s">
        <v>141</v>
      </c>
      <c r="D54" s="28" t="s">
        <v>1189</v>
      </c>
      <c r="E54" s="66" t="str">
        <f>HYPERLINK("https://youtu.be/jTsiLQ50Ezg","channel 2")</f>
        <v>channel 2</v>
      </c>
    </row>
    <row r="55">
      <c r="B55" s="28" t="s">
        <v>1192</v>
      </c>
      <c r="C55" s="12" t="s">
        <v>113</v>
      </c>
      <c r="D55" s="28" t="s">
        <v>803</v>
      </c>
      <c r="E55" s="36" t="str">
        <f>HYPERLINK("https://youtu.be/Bm9fo5A7LJE","channel 1")</f>
        <v>channel 1</v>
      </c>
    </row>
    <row r="56">
      <c r="B56" s="28" t="s">
        <v>1190</v>
      </c>
      <c r="C56" s="12" t="s">
        <v>35</v>
      </c>
      <c r="D56" s="28" t="s">
        <v>1120</v>
      </c>
      <c r="E56" s="66" t="str">
        <f>HYPERLINK("https://youtu.be/o7rHSQcGFj0","channel 2")</f>
        <v>channel 2</v>
      </c>
    </row>
    <row r="57">
      <c r="B57" s="28" t="s">
        <v>1120</v>
      </c>
      <c r="C57" s="12" t="s">
        <v>188</v>
      </c>
      <c r="D57" s="28" t="s">
        <v>1189</v>
      </c>
      <c r="E57" s="36" t="str">
        <f>HYPERLINK("https://youtu.be/MgeoyJnPjfY","channel 1")</f>
        <v>channel 1</v>
      </c>
    </row>
    <row r="58">
      <c r="B58" s="28" t="s">
        <v>1190</v>
      </c>
      <c r="C58" s="12" t="s">
        <v>90</v>
      </c>
      <c r="D58" s="28" t="s">
        <v>803</v>
      </c>
      <c r="E58" s="66" t="str">
        <f>HYPERLINK("https://youtu.be/om3tm598D5w","channel 2")</f>
        <v>channel 2</v>
      </c>
    </row>
    <row r="59">
      <c r="B59" s="28" t="s">
        <v>1189</v>
      </c>
      <c r="C59" s="12" t="s">
        <v>671</v>
      </c>
      <c r="D59" s="28" t="s">
        <v>1192</v>
      </c>
      <c r="E59" s="36" t="str">
        <f>HYPERLINK("https://youtu.be/xXyi3chNrGU","channel 1")</f>
        <v>channel 1</v>
      </c>
    </row>
    <row r="60">
      <c r="B60" s="28" t="s">
        <v>1120</v>
      </c>
      <c r="C60" s="12" t="s">
        <v>55</v>
      </c>
      <c r="D60" s="28" t="s">
        <v>803</v>
      </c>
      <c r="E60" s="66" t="str">
        <f>HYPERLINK("https://youtu.be/fXAXQudT2oI","channel 2")</f>
        <v>channel 2</v>
      </c>
    </row>
    <row r="61">
      <c r="B61" s="28" t="s">
        <v>1190</v>
      </c>
      <c r="C61" s="12" t="s">
        <v>1144</v>
      </c>
      <c r="D61" s="28" t="s">
        <v>1192</v>
      </c>
      <c r="E61" s="36" t="str">
        <f>HYPERLINK("https://youtu.be/Rwos7GeXKwY","channel 1")</f>
        <v>channel 1</v>
      </c>
    </row>
    <row r="62">
      <c r="B62" s="28" t="s">
        <v>1189</v>
      </c>
      <c r="C62" s="18" t="s">
        <v>188</v>
      </c>
      <c r="D62" s="28" t="s">
        <v>803</v>
      </c>
      <c r="E62" s="66" t="str">
        <f>HYPERLINK("https://youtu.be/1ed9TX0WChM","channel 2")</f>
        <v>channel 2</v>
      </c>
    </row>
    <row r="63">
      <c r="B63" s="28" t="s">
        <v>1120</v>
      </c>
      <c r="C63" s="12" t="s">
        <v>10</v>
      </c>
      <c r="D63" s="28" t="s">
        <v>1192</v>
      </c>
      <c r="E63" s="36" t="str">
        <f>HYPERLINK("https://youtu.be/7Lx3-XcvhII","channel 1")</f>
        <v>channel 1</v>
      </c>
    </row>
    <row r="64">
      <c r="B64" s="28" t="s">
        <v>1189</v>
      </c>
      <c r="C64" s="12" t="s">
        <v>10</v>
      </c>
      <c r="D64" s="28" t="s">
        <v>1190</v>
      </c>
      <c r="E64" s="66" t="str">
        <f>HYPERLINK("https://youtu.be/epo_kx0WrLw","channel 2")</f>
        <v>channel 2</v>
      </c>
    </row>
    <row r="65">
      <c r="B65" s="28" t="s">
        <v>803</v>
      </c>
      <c r="C65" s="12" t="s">
        <v>56</v>
      </c>
      <c r="D65" s="28" t="s">
        <v>1192</v>
      </c>
      <c r="E65" s="36" t="str">
        <f>HYPERLINK("https://youtu.be/p7pvmPySVNE","channel 1")</f>
        <v>channel 1</v>
      </c>
    </row>
    <row r="66">
      <c r="B66" s="28" t="s">
        <v>1120</v>
      </c>
      <c r="C66" s="12" t="s">
        <v>30</v>
      </c>
      <c r="D66" s="28" t="s">
        <v>1190</v>
      </c>
      <c r="E66" s="66" t="str">
        <f>HYPERLINK("https://youtu.be/_uZ4lDKWs6Q","channel 2")</f>
        <v>channel 2</v>
      </c>
    </row>
    <row r="67">
      <c r="B67" s="58" t="s">
        <v>134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8" t="s">
        <v>1196</v>
      </c>
      <c r="C69" s="12" t="s">
        <v>145</v>
      </c>
      <c r="D69" s="28" t="s">
        <v>601</v>
      </c>
      <c r="E69" s="36" t="str">
        <f>HYPERLINK("https://youtu.be/QwyFYoUwbUA","channel 1")</f>
        <v>channel 1</v>
      </c>
    </row>
    <row r="70">
      <c r="B70" s="28" t="s">
        <v>588</v>
      </c>
      <c r="C70" s="12" t="s">
        <v>37</v>
      </c>
      <c r="D70" s="28" t="s">
        <v>1197</v>
      </c>
      <c r="E70" s="66" t="str">
        <f>HYPERLINK("https://youtu.be/HGZTmfHMxzw","channel 2")</f>
        <v>channel 2</v>
      </c>
    </row>
    <row r="71">
      <c r="B71" s="28" t="s">
        <v>1198</v>
      </c>
      <c r="C71" s="12" t="s">
        <v>749</v>
      </c>
      <c r="D71" s="28" t="s">
        <v>1196</v>
      </c>
      <c r="E71" s="36" t="str">
        <f>HYPERLINK("https://youtu.be/zLlp86VcvhY","channel 1")</f>
        <v>channel 1</v>
      </c>
    </row>
    <row r="72">
      <c r="B72" s="28" t="s">
        <v>588</v>
      </c>
      <c r="C72" s="12" t="s">
        <v>210</v>
      </c>
      <c r="D72" s="28" t="s">
        <v>601</v>
      </c>
      <c r="E72" s="66" t="str">
        <f>HYPERLINK("https://youtu.be/JBbGOTVoS3k","channel 2")</f>
        <v>channel 2</v>
      </c>
    </row>
    <row r="73">
      <c r="B73" s="28" t="s">
        <v>1198</v>
      </c>
      <c r="C73" s="12" t="s">
        <v>44</v>
      </c>
      <c r="D73" s="28" t="s">
        <v>1197</v>
      </c>
      <c r="E73" s="36" t="str">
        <f>HYPERLINK("https://youtu.be/ToZB4Cp5pjA","channel 1")</f>
        <v>channel 1</v>
      </c>
    </row>
    <row r="74">
      <c r="B74" s="28" t="s">
        <v>588</v>
      </c>
      <c r="C74" s="12" t="s">
        <v>127</v>
      </c>
      <c r="D74" s="28" t="s">
        <v>1196</v>
      </c>
      <c r="E74" s="66" t="str">
        <f>HYPERLINK("https://youtu.be/yJBjkxDWmzU","channel 2")</f>
        <v>channel 2</v>
      </c>
    </row>
    <row r="75">
      <c r="B75" s="28" t="s">
        <v>1198</v>
      </c>
      <c r="C75" s="12" t="s">
        <v>135</v>
      </c>
      <c r="D75" s="28" t="s">
        <v>601</v>
      </c>
      <c r="E75" s="36" t="str">
        <f>HYPERLINK("https://youtu.be/Dag39R0qh70","channel 1")</f>
        <v>channel 1</v>
      </c>
    </row>
    <row r="76">
      <c r="B76" s="28" t="s">
        <v>1197</v>
      </c>
      <c r="C76" s="12" t="s">
        <v>124</v>
      </c>
      <c r="D76" s="28" t="s">
        <v>1196</v>
      </c>
      <c r="E76" s="66" t="str">
        <f>HYPERLINK("https://youtu.be/yNPn8apfIxA","channel 2")</f>
        <v>channel 2</v>
      </c>
    </row>
    <row r="77">
      <c r="B77" s="28" t="s">
        <v>1198</v>
      </c>
      <c r="C77" s="12" t="s">
        <v>1202</v>
      </c>
      <c r="D77" s="28" t="s">
        <v>588</v>
      </c>
      <c r="E77" s="36" t="str">
        <f>HYPERLINK("https://youtu.be/9OtCdk2XQ4I","channel 1")</f>
        <v>channel 1</v>
      </c>
    </row>
    <row r="78">
      <c r="B78" s="28" t="s">
        <v>1197</v>
      </c>
      <c r="C78" s="12" t="s">
        <v>89</v>
      </c>
      <c r="D78" s="28" t="s">
        <v>601</v>
      </c>
      <c r="E78" s="66" t="str">
        <f>HYPERLINK("https://youtu.be/kwO6OHYFWlc","channel 2")</f>
        <v>channel 2</v>
      </c>
    </row>
    <row r="79">
      <c r="B79" s="28" t="s">
        <v>601</v>
      </c>
      <c r="C79" s="12" t="s">
        <v>97</v>
      </c>
      <c r="D79" s="28" t="s">
        <v>1196</v>
      </c>
      <c r="E79" s="36" t="str">
        <f>HYPERLINK("https://youtu.be/icuaYDDTNOc","channel 1")</f>
        <v>channel 1</v>
      </c>
    </row>
    <row r="80">
      <c r="B80" s="28" t="s">
        <v>1197</v>
      </c>
      <c r="C80" s="12" t="s">
        <v>308</v>
      </c>
      <c r="D80" s="28" t="s">
        <v>588</v>
      </c>
      <c r="E80" s="66" t="str">
        <f>HYPERLINK("https://youtu.be/56xL5eH9hiA","channel 2")</f>
        <v>channel 2</v>
      </c>
    </row>
    <row r="81">
      <c r="B81" s="28" t="s">
        <v>1196</v>
      </c>
      <c r="C81" s="12" t="s">
        <v>196</v>
      </c>
      <c r="D81" s="28" t="s">
        <v>1198</v>
      </c>
      <c r="E81" s="36" t="str">
        <f>HYPERLINK("https://youtu.be/w6AWJRdo9Ls","channel 1")</f>
        <v>channel 1</v>
      </c>
    </row>
    <row r="82">
      <c r="B82" s="28" t="s">
        <v>601</v>
      </c>
      <c r="C82" s="12" t="s">
        <v>405</v>
      </c>
      <c r="D82" s="28" t="s">
        <v>588</v>
      </c>
      <c r="E82" s="66" t="str">
        <f>HYPERLINK("https://youtu.be/zh_f9WI2NzA","channel 2")</f>
        <v>channel 2</v>
      </c>
    </row>
    <row r="83">
      <c r="B83" s="28" t="s">
        <v>1197</v>
      </c>
      <c r="C83" s="12" t="s">
        <v>309</v>
      </c>
      <c r="D83" s="28" t="s">
        <v>1198</v>
      </c>
      <c r="E83" s="36" t="str">
        <f>HYPERLINK("https://youtu.be/RKjdSf__MG8","channel 1")</f>
        <v>channel 1</v>
      </c>
    </row>
    <row r="84">
      <c r="B84" s="28" t="s">
        <v>1196</v>
      </c>
      <c r="C84" s="12" t="s">
        <v>103</v>
      </c>
      <c r="D84" s="28" t="s">
        <v>588</v>
      </c>
      <c r="E84" s="66" t="str">
        <f>HYPERLINK("https://youtu.be/bXWrk-hjqJc","channel 2")</f>
        <v>channel 2</v>
      </c>
    </row>
    <row r="85">
      <c r="B85" s="28" t="s">
        <v>601</v>
      </c>
      <c r="C85" s="12" t="s">
        <v>36</v>
      </c>
      <c r="D85" s="28" t="s">
        <v>1198</v>
      </c>
      <c r="E85" s="36" t="str">
        <f>HYPERLINK("https://youtu.be/Li86x9NFO0I","channel 1")</f>
        <v>channel 1</v>
      </c>
    </row>
    <row r="86">
      <c r="B86" s="28" t="s">
        <v>1196</v>
      </c>
      <c r="C86" s="12" t="s">
        <v>157</v>
      </c>
      <c r="D86" s="28" t="s">
        <v>1197</v>
      </c>
      <c r="E86" s="66" t="str">
        <f>HYPERLINK("https://youtu.be/rQHqb58Tq1Y","channel 2")</f>
        <v>channel 2</v>
      </c>
    </row>
    <row r="87">
      <c r="B87" s="28" t="s">
        <v>588</v>
      </c>
      <c r="C87" s="12" t="s">
        <v>363</v>
      </c>
      <c r="D87" s="28" t="s">
        <v>1198</v>
      </c>
      <c r="E87" s="36" t="str">
        <f>HYPERLINK("https://youtu.be/zdJf3EzZ-hg","channel 1")</f>
        <v>channel 1</v>
      </c>
    </row>
    <row r="88">
      <c r="B88" s="28" t="s">
        <v>601</v>
      </c>
      <c r="C88" s="12" t="s">
        <v>77</v>
      </c>
      <c r="D88" s="28" t="s">
        <v>1197</v>
      </c>
      <c r="E88" s="66" t="str">
        <f>HYPERLINK("https://youtu.be/CbHP84UoqCI","channel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1182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621</v>
      </c>
      <c r="C3" s="12" t="s">
        <v>108</v>
      </c>
      <c r="D3" s="28" t="s">
        <v>1184</v>
      </c>
      <c r="E3" s="36" t="str">
        <f>HYPERLINK("https://youtu.be/9KKIJCMHp30","channel 1")</f>
        <v>channel 1</v>
      </c>
    </row>
    <row r="4">
      <c r="B4" s="28" t="s">
        <v>765</v>
      </c>
      <c r="C4" s="12" t="s">
        <v>32</v>
      </c>
      <c r="D4" s="28" t="s">
        <v>985</v>
      </c>
      <c r="E4" s="66" t="str">
        <f>HYPERLINK("https://youtu.be/cyg94jrptuo","channel 2")</f>
        <v>channel 2</v>
      </c>
    </row>
    <row r="5">
      <c r="B5" s="28" t="s">
        <v>902</v>
      </c>
      <c r="C5" s="12" t="s">
        <v>111</v>
      </c>
      <c r="D5" s="28" t="s">
        <v>621</v>
      </c>
      <c r="E5" s="36" t="str">
        <f>HYPERLINK("https://youtu.be/w21l4fb8u3g","channel 1")</f>
        <v>channel 1</v>
      </c>
    </row>
    <row r="6">
      <c r="B6" s="28" t="s">
        <v>765</v>
      </c>
      <c r="C6" s="12" t="s">
        <v>138</v>
      </c>
      <c r="D6" s="28" t="s">
        <v>1184</v>
      </c>
      <c r="E6" s="66" t="str">
        <f>HYPERLINK("https://youtu.be/H500Pu4Scpw","channel 2")</f>
        <v>channel 2</v>
      </c>
    </row>
    <row r="7">
      <c r="B7" s="28" t="s">
        <v>902</v>
      </c>
      <c r="C7" s="12" t="s">
        <v>871</v>
      </c>
      <c r="D7" s="28" t="s">
        <v>985</v>
      </c>
      <c r="E7" s="36" t="str">
        <f>HYPERLINK("https://youtu.be/LdDHFQ8vQ-c","channel 1")</f>
        <v>channel 1</v>
      </c>
    </row>
    <row r="8">
      <c r="B8" s="28" t="s">
        <v>765</v>
      </c>
      <c r="C8" s="12" t="s">
        <v>99</v>
      </c>
      <c r="D8" s="28" t="s">
        <v>621</v>
      </c>
      <c r="E8" s="66" t="str">
        <f>HYPERLINK("https://youtu.be/jPMZUda4Il0","channel 2")</f>
        <v>channel 2</v>
      </c>
    </row>
    <row r="9">
      <c r="B9" s="28" t="s">
        <v>902</v>
      </c>
      <c r="C9" s="12" t="s">
        <v>49</v>
      </c>
      <c r="D9" s="28" t="s">
        <v>1184</v>
      </c>
      <c r="E9" s="36" t="str">
        <f>HYPERLINK("https://youtu.be/sDVTBBUNVig","channel 1")</f>
        <v>channel 1</v>
      </c>
    </row>
    <row r="10">
      <c r="B10" s="28" t="s">
        <v>985</v>
      </c>
      <c r="C10" s="12" t="s">
        <v>111</v>
      </c>
      <c r="D10" s="28" t="s">
        <v>621</v>
      </c>
      <c r="E10" s="66" t="str">
        <f>HYPERLINK("https://youtu.be/lqPcqo9VVSE","channel 2")</f>
        <v>channel 2</v>
      </c>
    </row>
    <row r="11">
      <c r="B11" s="28" t="s">
        <v>902</v>
      </c>
      <c r="C11" s="12" t="s">
        <v>88</v>
      </c>
      <c r="D11" s="28" t="s">
        <v>765</v>
      </c>
      <c r="E11" s="36" t="str">
        <f>HYPERLINK("https://youtu.be/JPxWe8x_zns","channel 1")</f>
        <v>channel 1</v>
      </c>
    </row>
    <row r="12">
      <c r="B12" s="28" t="s">
        <v>985</v>
      </c>
      <c r="C12" s="12" t="s">
        <v>117</v>
      </c>
      <c r="D12" s="28" t="s">
        <v>1184</v>
      </c>
      <c r="E12" s="66" t="str">
        <f>HYPERLINK("https://youtu.be/3QYsD4S-lRw","channel 2")</f>
        <v>channel 2</v>
      </c>
    </row>
    <row r="13">
      <c r="B13" s="28" t="s">
        <v>1184</v>
      </c>
      <c r="C13" s="12" t="s">
        <v>1188</v>
      </c>
      <c r="D13" s="28" t="s">
        <v>621</v>
      </c>
      <c r="E13" s="36" t="str">
        <f>HYPERLINK("https://youtu.be/x4PqBU0Tz_I","channel 1")</f>
        <v>channel 1</v>
      </c>
    </row>
    <row r="14">
      <c r="B14" s="28" t="s">
        <v>985</v>
      </c>
      <c r="C14" s="12" t="s">
        <v>212</v>
      </c>
      <c r="D14" s="28" t="s">
        <v>765</v>
      </c>
      <c r="E14" s="66" t="str">
        <f>HYPERLINK("https://youtu.be/QE8BuMDz5jw","channel 2")</f>
        <v>channel 2</v>
      </c>
    </row>
    <row r="15">
      <c r="B15" s="28" t="s">
        <v>621</v>
      </c>
      <c r="C15" s="12" t="s">
        <v>47</v>
      </c>
      <c r="D15" s="28" t="s">
        <v>902</v>
      </c>
      <c r="E15" s="36" t="str">
        <f>HYPERLINK("https://youtu.be/O2WZU4iSM3w","channel 1")</f>
        <v>channel 1</v>
      </c>
    </row>
    <row r="16">
      <c r="B16" s="28" t="s">
        <v>1184</v>
      </c>
      <c r="C16" s="12" t="s">
        <v>103</v>
      </c>
      <c r="D16" s="28" t="s">
        <v>765</v>
      </c>
      <c r="E16" s="66" t="str">
        <f>HYPERLINK("https://youtu.be/TcBQm2GVXk0","channel 2")</f>
        <v>channel 2</v>
      </c>
    </row>
    <row r="17">
      <c r="B17" s="28" t="s">
        <v>985</v>
      </c>
      <c r="C17" s="12" t="s">
        <v>108</v>
      </c>
      <c r="D17" s="28" t="s">
        <v>902</v>
      </c>
      <c r="E17" s="36" t="str">
        <f>HYPERLINK("https://youtu.be/sZPK-dlxBd0","channel 1")</f>
        <v>channel 1</v>
      </c>
    </row>
    <row r="18">
      <c r="B18" s="28" t="s">
        <v>621</v>
      </c>
      <c r="C18" s="12" t="s">
        <v>117</v>
      </c>
      <c r="D18" s="28" t="s">
        <v>765</v>
      </c>
      <c r="E18" s="66" t="str">
        <f>HYPERLINK("https://youtu.be/rZl_jVu-wrs","channel 2")</f>
        <v>channel 2</v>
      </c>
    </row>
    <row r="19">
      <c r="B19" s="28" t="s">
        <v>1184</v>
      </c>
      <c r="C19" s="12" t="s">
        <v>268</v>
      </c>
      <c r="D19" s="28" t="s">
        <v>902</v>
      </c>
      <c r="E19" s="36" t="str">
        <f>HYPERLINK("https://youtu.be/mW3vZh6tJEg","channel 1")</f>
        <v>channel 1</v>
      </c>
    </row>
    <row r="20">
      <c r="B20" s="28" t="s">
        <v>621</v>
      </c>
      <c r="C20" s="12" t="s">
        <v>145</v>
      </c>
      <c r="D20" s="28" t="s">
        <v>985</v>
      </c>
      <c r="E20" s="66" t="str">
        <f>HYPERLINK("https://youtu.be/6MmMkUESXlE","channel 2")</f>
        <v>channel 2</v>
      </c>
    </row>
    <row r="21">
      <c r="B21" s="28" t="s">
        <v>765</v>
      </c>
      <c r="C21" s="12" t="s">
        <v>194</v>
      </c>
      <c r="D21" s="28" t="s">
        <v>902</v>
      </c>
      <c r="E21" s="36" t="str">
        <f>HYPERLINK("https://youtu.be/LxyCJm8TR8E","channel 1")</f>
        <v>channel 1</v>
      </c>
    </row>
    <row r="22">
      <c r="B22" s="28" t="s">
        <v>1184</v>
      </c>
      <c r="C22" s="12" t="s">
        <v>20</v>
      </c>
      <c r="D22" s="28" t="s">
        <v>985</v>
      </c>
      <c r="E22" s="66" t="str">
        <f>HYPERLINK("https://youtu.be/eMiCIe2aZyE","channel 2")</f>
        <v>channel 2</v>
      </c>
    </row>
    <row r="23">
      <c r="B23" s="58" t="s">
        <v>64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783</v>
      </c>
      <c r="C25" s="12" t="s">
        <v>156</v>
      </c>
      <c r="D25" s="28" t="s">
        <v>1191</v>
      </c>
      <c r="E25" s="36" t="str">
        <f>HYPERLINK("https://youtu.be/jSvItBpErwE","channel 1")</f>
        <v>channel 1</v>
      </c>
    </row>
    <row r="26">
      <c r="B26" s="28" t="s">
        <v>542</v>
      </c>
      <c r="C26" s="12" t="s">
        <v>132</v>
      </c>
      <c r="D26" s="28" t="s">
        <v>1193</v>
      </c>
      <c r="E26" s="66" t="str">
        <f>HYPERLINK("https://youtu.be/n-QWuPk6Ico","channel 2")</f>
        <v>channel 2</v>
      </c>
    </row>
    <row r="27">
      <c r="B27" s="28" t="s">
        <v>1194</v>
      </c>
      <c r="C27" s="12" t="s">
        <v>311</v>
      </c>
      <c r="D27" s="28" t="s">
        <v>783</v>
      </c>
      <c r="E27" s="36" t="str">
        <f>HYPERLINK("https://youtu.be/xYIUEE8qY24","channel 1")</f>
        <v>channel 1</v>
      </c>
    </row>
    <row r="28">
      <c r="B28" s="28" t="s">
        <v>542</v>
      </c>
      <c r="C28" s="12" t="s">
        <v>141</v>
      </c>
      <c r="D28" s="28" t="s">
        <v>1191</v>
      </c>
      <c r="E28" s="66" t="str">
        <f>HYPERLINK("https://youtu.be/mtnn_HivKgE","channel 2")</f>
        <v>channel 2</v>
      </c>
    </row>
    <row r="29">
      <c r="B29" s="28" t="s">
        <v>1194</v>
      </c>
      <c r="C29" s="12" t="s">
        <v>145</v>
      </c>
      <c r="D29" s="28" t="s">
        <v>1193</v>
      </c>
      <c r="E29" s="36" t="str">
        <f>HYPERLINK("https://youtu.be/LD0Et6lagcM","channel 1")</f>
        <v>channel 1</v>
      </c>
    </row>
    <row r="30">
      <c r="B30" s="28" t="s">
        <v>542</v>
      </c>
      <c r="C30" s="12" t="s">
        <v>145</v>
      </c>
      <c r="D30" s="28" t="s">
        <v>783</v>
      </c>
      <c r="E30" s="66" t="str">
        <f>HYPERLINK("https://youtu.be/24y81t5v7rw","channel 2")</f>
        <v>channel 2</v>
      </c>
    </row>
    <row r="31">
      <c r="B31" s="28" t="s">
        <v>1194</v>
      </c>
      <c r="C31" s="12" t="s">
        <v>104</v>
      </c>
      <c r="D31" s="28" t="s">
        <v>1191</v>
      </c>
      <c r="E31" s="36" t="str">
        <f>HYPERLINK("https://youtu.be/tA0upTJ1m_s","channel 1")</f>
        <v>channel 1</v>
      </c>
    </row>
    <row r="32">
      <c r="B32" s="28" t="s">
        <v>1193</v>
      </c>
      <c r="C32" s="12" t="s">
        <v>34</v>
      </c>
      <c r="D32" s="28" t="s">
        <v>783</v>
      </c>
      <c r="E32" s="66" t="str">
        <f>HYPERLINK("https://youtu.be/-lLka9KeXiE","channel 2")</f>
        <v>channel 2</v>
      </c>
    </row>
    <row r="33">
      <c r="B33" s="28" t="s">
        <v>1194</v>
      </c>
      <c r="C33" s="12" t="s">
        <v>277</v>
      </c>
      <c r="D33" s="28" t="s">
        <v>542</v>
      </c>
      <c r="E33" s="36" t="str">
        <f>HYPERLINK("https://youtu.be/EBgm4kiA6Oo","channel 1")</f>
        <v>channel 1</v>
      </c>
    </row>
    <row r="34">
      <c r="B34" s="28" t="s">
        <v>1193</v>
      </c>
      <c r="C34" s="12" t="s">
        <v>47</v>
      </c>
      <c r="D34" s="28" t="s">
        <v>1191</v>
      </c>
      <c r="E34" s="66" t="str">
        <f>HYPERLINK("https://youtu.be/eOJYDYkhrfQ","channel 2")</f>
        <v>channel 2</v>
      </c>
    </row>
    <row r="35">
      <c r="B35" s="28" t="s">
        <v>1191</v>
      </c>
      <c r="C35" s="12" t="s">
        <v>145</v>
      </c>
      <c r="D35" s="28" t="s">
        <v>783</v>
      </c>
      <c r="E35" s="36" t="str">
        <f>HYPERLINK("https://youtu.be/VHSRoQYrfZA","channel 1")</f>
        <v>channel 1</v>
      </c>
    </row>
    <row r="36">
      <c r="B36" s="28" t="s">
        <v>1193</v>
      </c>
      <c r="C36" s="12" t="s">
        <v>598</v>
      </c>
      <c r="D36" s="28" t="s">
        <v>542</v>
      </c>
      <c r="E36" s="66" t="str">
        <f>HYPERLINK("https://youtu.be/uDX2dKpAieo","channel 2")</f>
        <v>channel 2</v>
      </c>
    </row>
    <row r="37">
      <c r="B37" s="28" t="s">
        <v>783</v>
      </c>
      <c r="C37" s="12" t="s">
        <v>93</v>
      </c>
      <c r="D37" s="28" t="s">
        <v>1194</v>
      </c>
      <c r="E37" s="36" t="str">
        <f>HYPERLINK("https://youtu.be/QGYzk-xF32Y","channel 1")</f>
        <v>channel 1</v>
      </c>
    </row>
    <row r="38">
      <c r="B38" s="28" t="s">
        <v>1191</v>
      </c>
      <c r="C38" s="12" t="s">
        <v>362</v>
      </c>
      <c r="D38" s="28" t="s">
        <v>542</v>
      </c>
      <c r="E38" s="66" t="str">
        <f>HYPERLINK("https://youtu.be/5lEMx-fd9co","channel 2")</f>
        <v>channel 2</v>
      </c>
    </row>
    <row r="39">
      <c r="B39" s="28" t="s">
        <v>1193</v>
      </c>
      <c r="C39" s="18" t="s">
        <v>141</v>
      </c>
      <c r="D39" s="28" t="s">
        <v>1194</v>
      </c>
      <c r="E39" s="36" t="str">
        <f>HYPERLINK("https://youtu.be/QDbxNnTO5OM","channel 1")</f>
        <v>channel 1</v>
      </c>
    </row>
    <row r="40">
      <c r="B40" s="28" t="s">
        <v>783</v>
      </c>
      <c r="C40" s="12" t="s">
        <v>59</v>
      </c>
      <c r="D40" s="28" t="s">
        <v>542</v>
      </c>
      <c r="E40" s="66" t="str">
        <f>HYPERLINK("https://youtu.be/6L5nWgAEEOk","channel 2")</f>
        <v>channel 2</v>
      </c>
    </row>
    <row r="41">
      <c r="B41" s="28" t="s">
        <v>1191</v>
      </c>
      <c r="C41" s="12" t="s">
        <v>1195</v>
      </c>
      <c r="D41" s="28" t="s">
        <v>1194</v>
      </c>
      <c r="E41" s="36" t="str">
        <f>HYPERLINK("https://youtu.be/vk_sg7Eawlc","channel 1")</f>
        <v>channel 1</v>
      </c>
    </row>
    <row r="42">
      <c r="B42" s="28" t="s">
        <v>783</v>
      </c>
      <c r="C42" s="12" t="s">
        <v>188</v>
      </c>
      <c r="D42" s="28" t="s">
        <v>1193</v>
      </c>
      <c r="E42" s="66" t="str">
        <f>HYPERLINK("https://youtu.be/fGwmG2Gvgcg","channel 2")</f>
        <v>channel 2</v>
      </c>
    </row>
    <row r="43">
      <c r="B43" s="28" t="s">
        <v>542</v>
      </c>
      <c r="C43" s="12" t="s">
        <v>31</v>
      </c>
      <c r="D43" s="28" t="s">
        <v>1194</v>
      </c>
      <c r="E43" s="36" t="str">
        <f>HYPERLINK("https://youtu.be/omrxG0u7MCk","channel 1")</f>
        <v>channel 1</v>
      </c>
    </row>
    <row r="44">
      <c r="B44" s="28" t="s">
        <v>1191</v>
      </c>
      <c r="C44" s="12" t="s">
        <v>88</v>
      </c>
      <c r="D44" s="28" t="s">
        <v>1193</v>
      </c>
      <c r="E44" s="66" t="str">
        <f>HYPERLINK("https://youtu.be/9qVQ7cDODgs","channel 2")</f>
        <v>channel 2</v>
      </c>
    </row>
    <row r="45">
      <c r="B45" s="58" t="s">
        <v>112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8" t="s">
        <v>1199</v>
      </c>
      <c r="C47" s="12" t="s">
        <v>99</v>
      </c>
      <c r="D47" s="28" t="s">
        <v>1042</v>
      </c>
      <c r="E47" s="36" t="str">
        <f>HYPERLINK("https://youtu.be/6QDnBA6AECg","channel 1")</f>
        <v>channel 1</v>
      </c>
    </row>
    <row r="48">
      <c r="B48" s="28" t="s">
        <v>1200</v>
      </c>
      <c r="C48" s="12" t="s">
        <v>141</v>
      </c>
      <c r="D48" s="28" t="s">
        <v>1201</v>
      </c>
      <c r="E48" s="66" t="str">
        <f>HYPERLINK("https://youtu.be/g2lrtQUR4hg","channel 2")</f>
        <v>channel 2</v>
      </c>
    </row>
    <row r="49">
      <c r="B49" s="28" t="s">
        <v>587</v>
      </c>
      <c r="C49" s="12" t="s">
        <v>133</v>
      </c>
      <c r="D49" s="28" t="s">
        <v>1199</v>
      </c>
      <c r="E49" s="36" t="str">
        <f>HYPERLINK("https://youtu.be/3FXrtqPkbAc","channel 1")</f>
        <v>channel 1</v>
      </c>
    </row>
    <row r="50">
      <c r="B50" s="28" t="s">
        <v>1200</v>
      </c>
      <c r="C50" s="12" t="s">
        <v>216</v>
      </c>
      <c r="D50" s="28" t="s">
        <v>1042</v>
      </c>
      <c r="E50" s="66" t="str">
        <f>HYPERLINK("https://youtu.be/m9gXN4os4YY","channel 2")</f>
        <v>channel 2</v>
      </c>
    </row>
    <row r="51">
      <c r="B51" s="28" t="s">
        <v>587</v>
      </c>
      <c r="C51" s="12" t="s">
        <v>821</v>
      </c>
      <c r="D51" s="28" t="s">
        <v>1201</v>
      </c>
      <c r="E51" s="36" t="str">
        <f>HYPERLINK("https://youtu.be/6YAcJRhdhj8","channel 1")</f>
        <v>channel 1</v>
      </c>
    </row>
    <row r="52">
      <c r="B52" s="28" t="s">
        <v>1200</v>
      </c>
      <c r="C52" s="12" t="s">
        <v>42</v>
      </c>
      <c r="D52" s="28" t="s">
        <v>1199</v>
      </c>
      <c r="E52" s="66" t="str">
        <f>HYPERLINK("https://youtu.be/EIosyFt2uP4","channel 2")</f>
        <v>channel 2</v>
      </c>
    </row>
    <row r="53">
      <c r="B53" s="28" t="s">
        <v>587</v>
      </c>
      <c r="C53" s="12" t="s">
        <v>10</v>
      </c>
      <c r="D53" s="28" t="s">
        <v>1042</v>
      </c>
      <c r="E53" s="36" t="str">
        <f>HYPERLINK("https://youtu.be/Aagb1XsmMic","channel 1")</f>
        <v>channel 1</v>
      </c>
    </row>
    <row r="54">
      <c r="B54" s="28" t="s">
        <v>1201</v>
      </c>
      <c r="C54" s="12" t="s">
        <v>93</v>
      </c>
      <c r="D54" s="28" t="s">
        <v>1199</v>
      </c>
      <c r="E54" s="66" t="str">
        <f>HYPERLINK("https://youtu.be/5dwOfcpUwKw","channel 2")</f>
        <v>channel 2</v>
      </c>
    </row>
    <row r="55">
      <c r="B55" s="28" t="s">
        <v>587</v>
      </c>
      <c r="C55" s="12" t="s">
        <v>1203</v>
      </c>
      <c r="D55" s="28" t="s">
        <v>1200</v>
      </c>
      <c r="E55" s="36" t="str">
        <f>HYPERLINK("https://youtu.be/S8XGfDevhS8","channel 1")</f>
        <v>channel 1</v>
      </c>
    </row>
    <row r="56">
      <c r="B56" s="28" t="s">
        <v>1201</v>
      </c>
      <c r="C56" s="12" t="s">
        <v>109</v>
      </c>
      <c r="D56" s="28" t="s">
        <v>1042</v>
      </c>
      <c r="E56" s="66" t="str">
        <f>HYPERLINK("https://youtu.be/kpAuWF8uGgg","channel 2")</f>
        <v>channel 2</v>
      </c>
    </row>
    <row r="57">
      <c r="B57" s="28" t="s">
        <v>1042</v>
      </c>
      <c r="C57" s="12" t="s">
        <v>189</v>
      </c>
      <c r="D57" s="28" t="s">
        <v>1199</v>
      </c>
      <c r="E57" s="36" t="str">
        <f>HYPERLINK("https://youtu.be/1YifBhmGAuk","channel 1")</f>
        <v>channel 1</v>
      </c>
    </row>
    <row r="58">
      <c r="B58" s="28" t="s">
        <v>1201</v>
      </c>
      <c r="C58" s="12" t="s">
        <v>974</v>
      </c>
      <c r="D58" s="28" t="s">
        <v>1200</v>
      </c>
      <c r="E58" s="66" t="str">
        <f>HYPERLINK("https://youtu.be/p4VJ8L8alsw","channel 2")</f>
        <v>channel 2</v>
      </c>
    </row>
    <row r="59">
      <c r="B59" s="28" t="s">
        <v>1199</v>
      </c>
      <c r="C59" s="12" t="s">
        <v>1204</v>
      </c>
      <c r="D59" s="28" t="s">
        <v>587</v>
      </c>
      <c r="E59" s="36" t="str">
        <f>HYPERLINK("https://youtu.be/p2WqaUxWoGY","channel 1")</f>
        <v>channel 1</v>
      </c>
    </row>
    <row r="60">
      <c r="B60" s="28" t="s">
        <v>1042</v>
      </c>
      <c r="C60" s="12" t="s">
        <v>343</v>
      </c>
      <c r="D60" s="28" t="s">
        <v>1200</v>
      </c>
      <c r="E60" s="66" t="str">
        <f>HYPERLINK("https://youtu.be/cuoxOAJ6XqE","channel 2")</f>
        <v>channel 2</v>
      </c>
    </row>
    <row r="61">
      <c r="B61" s="28" t="s">
        <v>1201</v>
      </c>
      <c r="C61" s="12" t="s">
        <v>277</v>
      </c>
      <c r="D61" s="28" t="s">
        <v>587</v>
      </c>
      <c r="E61" s="36" t="str">
        <f>HYPERLINK("https://youtu.be/zb729DUdMHg","channel 1")</f>
        <v>channel 1</v>
      </c>
    </row>
    <row r="62">
      <c r="B62" s="28" t="s">
        <v>1199</v>
      </c>
      <c r="C62" s="18" t="s">
        <v>887</v>
      </c>
      <c r="D62" s="28" t="s">
        <v>1200</v>
      </c>
      <c r="E62" s="66" t="str">
        <f>HYPERLINK("https://youtu.be/BBCdkJj23jY","channel 2")</f>
        <v>channel 2</v>
      </c>
    </row>
    <row r="63">
      <c r="B63" s="28" t="s">
        <v>1042</v>
      </c>
      <c r="C63" s="12" t="s">
        <v>135</v>
      </c>
      <c r="D63" s="28" t="s">
        <v>587</v>
      </c>
      <c r="E63" s="36" t="str">
        <f>HYPERLINK("https://youtu.be/Bsse1gfP-S4","channel 1")</f>
        <v>channel 1</v>
      </c>
    </row>
    <row r="64">
      <c r="B64" s="28" t="s">
        <v>1199</v>
      </c>
      <c r="C64" s="12" t="s">
        <v>49</v>
      </c>
      <c r="D64" s="28" t="s">
        <v>1201</v>
      </c>
      <c r="E64" s="66" t="str">
        <f>HYPERLINK("https://youtu.be/I6Jx1T6dg14","channel 2")</f>
        <v>channel 2</v>
      </c>
    </row>
    <row r="65">
      <c r="B65" s="28" t="s">
        <v>1200</v>
      </c>
      <c r="C65" s="12" t="s">
        <v>196</v>
      </c>
      <c r="D65" s="28" t="s">
        <v>587</v>
      </c>
      <c r="E65" s="36" t="str">
        <f>HYPERLINK("https://youtu.be/--QJtg-2amo","channel 1")</f>
        <v>channel 1</v>
      </c>
    </row>
    <row r="66">
      <c r="B66" s="28" t="s">
        <v>1042</v>
      </c>
      <c r="C66" s="12" t="s">
        <v>34</v>
      </c>
      <c r="D66" s="28" t="s">
        <v>1201</v>
      </c>
      <c r="E66" s="66" t="str">
        <f>HYPERLINK("https://youtu.be/062vfVKf0R0","channel 2")</f>
        <v>channel 2</v>
      </c>
    </row>
    <row r="67">
      <c r="B67" s="58" t="s">
        <v>386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8" t="s">
        <v>9</v>
      </c>
      <c r="C69" s="12" t="s">
        <v>529</v>
      </c>
      <c r="D69" s="28" t="s">
        <v>1205</v>
      </c>
      <c r="E69" s="36" t="str">
        <f>HYPERLINK("https://youtu.be/puH3MC0SMHM","channel 1")</f>
        <v>channel 1</v>
      </c>
    </row>
    <row r="70">
      <c r="B70" s="28" t="s">
        <v>1206</v>
      </c>
      <c r="C70" s="12" t="s">
        <v>943</v>
      </c>
      <c r="D70" s="28" t="s">
        <v>1207</v>
      </c>
      <c r="E70" s="66" t="str">
        <f>HYPERLINK("https://youtu.be/RnnDhH88VYg","channel 2")</f>
        <v>channel 2</v>
      </c>
    </row>
    <row r="71">
      <c r="B71" s="28" t="s">
        <v>25</v>
      </c>
      <c r="C71" s="12" t="s">
        <v>143</v>
      </c>
      <c r="D71" s="28" t="s">
        <v>9</v>
      </c>
      <c r="E71" s="36" t="str">
        <f>HYPERLINK("https://youtu.be/azWcicR6Elw","channel 1")</f>
        <v>channel 1</v>
      </c>
    </row>
    <row r="72">
      <c r="B72" s="28" t="s">
        <v>1206</v>
      </c>
      <c r="C72" s="12" t="s">
        <v>49</v>
      </c>
      <c r="D72" s="28" t="s">
        <v>1205</v>
      </c>
      <c r="E72" s="66" t="str">
        <f>HYPERLINK("https://youtu.be/YKdj00bUdBk","channel 2")</f>
        <v>channel 2</v>
      </c>
    </row>
    <row r="73">
      <c r="B73" s="28" t="s">
        <v>25</v>
      </c>
      <c r="C73" s="12" t="s">
        <v>135</v>
      </c>
      <c r="D73" s="28" t="s">
        <v>1207</v>
      </c>
      <c r="E73" s="36" t="str">
        <f>HYPERLINK("https://youtu.be/2LS3CxiWXsA","channel 1")</f>
        <v>channel 1</v>
      </c>
    </row>
    <row r="74">
      <c r="B74" s="28" t="s">
        <v>1206</v>
      </c>
      <c r="C74" s="12" t="s">
        <v>110</v>
      </c>
      <c r="D74" s="28" t="s">
        <v>9</v>
      </c>
      <c r="E74" s="66" t="str">
        <f>HYPERLINK("https://youtu.be/TJfxQ8ppshI","channel 2")</f>
        <v>channel 2</v>
      </c>
    </row>
    <row r="75">
      <c r="B75" s="28" t="s">
        <v>25</v>
      </c>
      <c r="C75" s="12" t="s">
        <v>458</v>
      </c>
      <c r="D75" s="28" t="s">
        <v>1205</v>
      </c>
      <c r="E75" s="36" t="str">
        <f>HYPERLINK("https://youtu.be/4FkVOpzl87Y","channel 1")</f>
        <v>channel 1</v>
      </c>
    </row>
    <row r="76">
      <c r="B76" s="28" t="s">
        <v>1207</v>
      </c>
      <c r="C76" s="12" t="s">
        <v>194</v>
      </c>
      <c r="D76" s="28" t="s">
        <v>9</v>
      </c>
      <c r="E76" s="66" t="str">
        <f>HYPERLINK("https://youtu.be/fwgzDCHLYK4","channel 2")</f>
        <v>channel 2</v>
      </c>
    </row>
    <row r="77">
      <c r="B77" s="28" t="s">
        <v>25</v>
      </c>
      <c r="C77" s="12" t="s">
        <v>193</v>
      </c>
      <c r="D77" s="28" t="s">
        <v>1206</v>
      </c>
      <c r="E77" s="36" t="str">
        <f>HYPERLINK("https://youtu.be/82m0XUBuZMQ","channel 1")</f>
        <v>channel 1</v>
      </c>
    </row>
    <row r="78">
      <c r="B78" s="28" t="s">
        <v>1207</v>
      </c>
      <c r="C78" s="12" t="s">
        <v>111</v>
      </c>
      <c r="D78" s="28" t="s">
        <v>1205</v>
      </c>
      <c r="E78" s="66" t="str">
        <f>HYPERLINK("https://youtu.be/9GgUtghD-kA","channel 2")</f>
        <v>channel 2</v>
      </c>
    </row>
    <row r="79">
      <c r="B79" s="28" t="s">
        <v>1205</v>
      </c>
      <c r="C79" s="12" t="s">
        <v>190</v>
      </c>
      <c r="D79" s="28" t="s">
        <v>9</v>
      </c>
      <c r="E79" s="36" t="str">
        <f>HYPERLINK("https://youtu.be/RRJE828inp0","channel 1")</f>
        <v>channel 1</v>
      </c>
    </row>
    <row r="80">
      <c r="B80" s="28" t="s">
        <v>1207</v>
      </c>
      <c r="C80" s="12" t="s">
        <v>384</v>
      </c>
      <c r="D80" s="28" t="s">
        <v>1206</v>
      </c>
      <c r="E80" s="66" t="str">
        <f>HYPERLINK("https://youtu.be/2M1WhzICYwA","channel 2")</f>
        <v>channel 2</v>
      </c>
    </row>
    <row r="81">
      <c r="B81" s="28" t="s">
        <v>9</v>
      </c>
      <c r="C81" s="12" t="s">
        <v>555</v>
      </c>
      <c r="D81" s="28" t="s">
        <v>25</v>
      </c>
      <c r="E81" s="36" t="str">
        <f>HYPERLINK("https://youtu.be/fUkWNtWLTMY","channel 1")</f>
        <v>channel 1</v>
      </c>
    </row>
    <row r="82">
      <c r="B82" s="28" t="s">
        <v>1205</v>
      </c>
      <c r="C82" s="12" t="s">
        <v>193</v>
      </c>
      <c r="D82" s="28" t="s">
        <v>1206</v>
      </c>
      <c r="E82" s="66" t="str">
        <f>HYPERLINK("https://youtu.be/i0zD3bjMeH8","channel 2")</f>
        <v>channel 2</v>
      </c>
    </row>
    <row r="83">
      <c r="B83" s="28" t="s">
        <v>1207</v>
      </c>
      <c r="C83" s="12" t="s">
        <v>477</v>
      </c>
      <c r="D83" s="28" t="s">
        <v>25</v>
      </c>
      <c r="E83" s="36" t="str">
        <f>HYPERLINK("https://youtu.be/gjBb1ftXYKE","channel 1")</f>
        <v>channel 1</v>
      </c>
    </row>
    <row r="84">
      <c r="B84" s="28" t="s">
        <v>9</v>
      </c>
      <c r="C84" s="12" t="s">
        <v>24</v>
      </c>
      <c r="D84" s="28" t="s">
        <v>1206</v>
      </c>
      <c r="E84" s="66" t="str">
        <f>HYPERLINK("https://youtu.be/t_Ff9JapQbI","channel 2")</f>
        <v>channel 2</v>
      </c>
    </row>
    <row r="85">
      <c r="B85" s="28" t="s">
        <v>1205</v>
      </c>
      <c r="C85" s="12" t="s">
        <v>353</v>
      </c>
      <c r="D85" s="28" t="s">
        <v>25</v>
      </c>
      <c r="E85" s="36" t="str">
        <f>HYPERLINK("https://youtu.be/JhGg0VvZkgc","channel 1")</f>
        <v>channel 1</v>
      </c>
    </row>
    <row r="86">
      <c r="B86" s="28" t="s">
        <v>9</v>
      </c>
      <c r="C86" s="12" t="s">
        <v>85</v>
      </c>
      <c r="D86" s="28" t="s">
        <v>1207</v>
      </c>
      <c r="E86" s="66" t="str">
        <f>HYPERLINK("https://youtu.be/2uF5jKxChy8","channel 2")</f>
        <v>channel 2</v>
      </c>
    </row>
    <row r="87">
      <c r="B87" s="28" t="s">
        <v>1206</v>
      </c>
      <c r="C87" s="12" t="s">
        <v>188</v>
      </c>
      <c r="D87" s="28" t="s">
        <v>25</v>
      </c>
      <c r="E87" s="36" t="str">
        <f>HYPERLINK("https://youtu.be/Ug09q-99kgs","channel 1")</f>
        <v>channel 1</v>
      </c>
    </row>
    <row r="88">
      <c r="B88" s="28" t="s">
        <v>1205</v>
      </c>
      <c r="C88" s="12" t="s">
        <v>49</v>
      </c>
      <c r="D88" s="28" t="s">
        <v>1207</v>
      </c>
      <c r="E88" s="66" t="str">
        <f>HYPERLINK("https://youtu.be/yDDC4nkeDhE","channel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979</v>
      </c>
      <c r="C3" s="12" t="s">
        <v>145</v>
      </c>
      <c r="D3" s="10" t="s">
        <v>798</v>
      </c>
      <c r="E3" s="50" t="s">
        <v>26</v>
      </c>
    </row>
    <row r="4">
      <c r="B4" s="10" t="s">
        <v>1208</v>
      </c>
      <c r="C4" s="12" t="s">
        <v>37</v>
      </c>
      <c r="D4" s="10" t="s">
        <v>800</v>
      </c>
      <c r="E4" s="66" t="str">
        <f>HYPERLINK("https://youtu.be/dI6rCiIAj8c","channel 2")</f>
        <v>channel 2</v>
      </c>
    </row>
    <row r="5">
      <c r="B5" s="10" t="s">
        <v>209</v>
      </c>
      <c r="C5" s="12" t="s">
        <v>49</v>
      </c>
      <c r="D5" s="10" t="s">
        <v>979</v>
      </c>
      <c r="E5" s="36" t="str">
        <f>HYPERLINK("https://youtu.be/T5tj7GoZacY","channel 1")</f>
        <v>channel 1</v>
      </c>
    </row>
    <row r="6">
      <c r="B6" s="10" t="s">
        <v>1208</v>
      </c>
      <c r="C6" s="12" t="s">
        <v>124</v>
      </c>
      <c r="D6" s="10" t="s">
        <v>798</v>
      </c>
      <c r="E6" s="66" t="str">
        <f>HYPERLINK("https://youtu.be/vXT3ftrZClM","channel 2")</f>
        <v>channel 2</v>
      </c>
    </row>
    <row r="7">
      <c r="B7" s="10" t="s">
        <v>209</v>
      </c>
      <c r="C7" s="12" t="s">
        <v>10</v>
      </c>
      <c r="D7" s="10" t="s">
        <v>800</v>
      </c>
      <c r="E7" s="36" t="str">
        <f>HYPERLINK("https://youtu.be/x4cSiKOqFuY","channel 1")</f>
        <v>channel 1</v>
      </c>
    </row>
    <row r="8">
      <c r="B8" s="10" t="s">
        <v>1208</v>
      </c>
      <c r="C8" s="12" t="s">
        <v>141</v>
      </c>
      <c r="D8" s="10" t="s">
        <v>979</v>
      </c>
      <c r="E8" s="66" t="str">
        <f>HYPERLINK("https://youtu.be/eAQ_KCJHL4g","channel 2")</f>
        <v>channel 2</v>
      </c>
    </row>
    <row r="9">
      <c r="B9" s="28" t="s">
        <v>209</v>
      </c>
      <c r="C9" s="12" t="s">
        <v>89</v>
      </c>
      <c r="D9" s="10" t="s">
        <v>798</v>
      </c>
      <c r="E9" s="36" t="str">
        <f>HYPERLINK("https://youtu.be/S4GZgA1H6UI","channel 1")</f>
        <v>channel 1</v>
      </c>
    </row>
    <row r="10">
      <c r="B10" s="10" t="s">
        <v>800</v>
      </c>
      <c r="C10" s="12" t="s">
        <v>74</v>
      </c>
      <c r="D10" s="10" t="s">
        <v>979</v>
      </c>
      <c r="E10" s="66" t="str">
        <f>HYPERLINK("https://youtu.be/w-WYQ4QROUk","channel 2")</f>
        <v>channel 2</v>
      </c>
    </row>
    <row r="11">
      <c r="B11" s="10" t="s">
        <v>209</v>
      </c>
      <c r="C11" s="12" t="s">
        <v>163</v>
      </c>
      <c r="D11" s="10" t="s">
        <v>1208</v>
      </c>
      <c r="E11" s="36" t="str">
        <f>HYPERLINK("https://youtu.be/-Pjd016i0KA","channel 1")</f>
        <v>channel 1</v>
      </c>
    </row>
    <row r="12">
      <c r="B12" s="10" t="s">
        <v>800</v>
      </c>
      <c r="C12" s="12" t="s">
        <v>109</v>
      </c>
      <c r="D12" s="10" t="s">
        <v>798</v>
      </c>
      <c r="E12" s="66" t="str">
        <f>HYPERLINK("https://youtu.be/7ZwscGscHZE","channel 2")</f>
        <v>channel 2</v>
      </c>
    </row>
    <row r="13">
      <c r="B13" s="10" t="s">
        <v>798</v>
      </c>
      <c r="C13" s="12" t="s">
        <v>145</v>
      </c>
      <c r="D13" s="10" t="s">
        <v>979</v>
      </c>
      <c r="E13" s="36" t="str">
        <f>HYPERLINK("https://youtu.be/rdz2QxXbiYQ","channel 1")</f>
        <v>channel 1</v>
      </c>
    </row>
    <row r="14">
      <c r="B14" s="10" t="s">
        <v>800</v>
      </c>
      <c r="C14" s="12" t="s">
        <v>285</v>
      </c>
      <c r="D14" s="10" t="s">
        <v>1208</v>
      </c>
      <c r="E14" s="66" t="str">
        <f>HYPERLINK("https://youtu.be/OD1ychAX7IU","channel 2")</f>
        <v>channel 2</v>
      </c>
    </row>
    <row r="15">
      <c r="B15" s="10" t="s">
        <v>979</v>
      </c>
      <c r="C15" s="12" t="s">
        <v>47</v>
      </c>
      <c r="D15" s="10" t="s">
        <v>209</v>
      </c>
      <c r="E15" s="36" t="str">
        <f>HYPERLINK("https://youtu.be/Oz3bcSI4GDE","channel 1")</f>
        <v>channel 1</v>
      </c>
    </row>
    <row r="16">
      <c r="B16" s="10" t="s">
        <v>798</v>
      </c>
      <c r="C16" s="12" t="s">
        <v>148</v>
      </c>
      <c r="D16" s="10" t="s">
        <v>1208</v>
      </c>
      <c r="E16" s="66" t="str">
        <f>HYPERLINK("https://youtu.be/RRB5p3TMpuQ","channel 2")</f>
        <v>channel 2</v>
      </c>
    </row>
    <row r="17">
      <c r="B17" s="10" t="s">
        <v>800</v>
      </c>
      <c r="C17" s="12" t="s">
        <v>47</v>
      </c>
      <c r="D17" s="10" t="s">
        <v>209</v>
      </c>
      <c r="E17" s="36" t="str">
        <f>HYPERLINK("https://youtu.be/PBko7B8nt0U","channel 1")</f>
        <v>channel 1</v>
      </c>
    </row>
    <row r="18">
      <c r="B18" s="10" t="s">
        <v>979</v>
      </c>
      <c r="C18" s="12" t="s">
        <v>232</v>
      </c>
      <c r="D18" s="10" t="s">
        <v>1208</v>
      </c>
      <c r="E18" s="66" t="str">
        <f>HYPERLINK("https://youtu.be/GvDjaNr7pw4","channel 2")</f>
        <v>channel 2</v>
      </c>
    </row>
    <row r="19">
      <c r="B19" s="10" t="s">
        <v>798</v>
      </c>
      <c r="C19" s="12" t="s">
        <v>148</v>
      </c>
      <c r="D19" s="10" t="s">
        <v>209</v>
      </c>
      <c r="E19" s="36" t="str">
        <f>HYPERLINK("https://youtu.be/eH3IU6nvZUM","channel 1")</f>
        <v>channel 1</v>
      </c>
    </row>
    <row r="20">
      <c r="B20" s="10" t="s">
        <v>979</v>
      </c>
      <c r="C20" s="12" t="s">
        <v>30</v>
      </c>
      <c r="D20" s="10" t="s">
        <v>800</v>
      </c>
      <c r="E20" s="66" t="str">
        <f>HYPERLINK("https://youtu.be/RP_AIpmsWIk","channel 2")</f>
        <v>channel 2</v>
      </c>
    </row>
    <row r="21">
      <c r="B21" s="10" t="s">
        <v>1208</v>
      </c>
      <c r="C21" s="12" t="s">
        <v>179</v>
      </c>
      <c r="D21" s="10" t="s">
        <v>209</v>
      </c>
      <c r="E21" s="36" t="str">
        <f>HYPERLINK("https://youtu.be/svKir7MketM","channel 1")</f>
        <v>channel 1</v>
      </c>
    </row>
    <row r="22">
      <c r="B22" s="10" t="s">
        <v>798</v>
      </c>
      <c r="C22" s="12" t="s">
        <v>93</v>
      </c>
      <c r="D22" s="10" t="s">
        <v>800</v>
      </c>
      <c r="E22" s="66" t="str">
        <f>HYPERLINK("https://youtu.be/DNvoCIJGL-w","channel 2")</f>
        <v>channel 2</v>
      </c>
    </row>
    <row r="23">
      <c r="B23" s="58" t="s">
        <v>580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1209</v>
      </c>
      <c r="C25" s="70" t="s">
        <v>10</v>
      </c>
      <c r="D25" s="71" t="s">
        <v>873</v>
      </c>
      <c r="E25" s="36" t="str">
        <f>HYPERLINK("https://youtu.be/FT7A5uB0Mo4","channel 1")</f>
        <v>channel 1</v>
      </c>
    </row>
    <row r="26">
      <c r="B26" s="72" t="s">
        <v>1210</v>
      </c>
      <c r="C26" s="73" t="s">
        <v>350</v>
      </c>
      <c r="D26" s="74" t="s">
        <v>400</v>
      </c>
      <c r="E26" s="66" t="str">
        <f>HYPERLINK("https://youtu.be/i5fq0ZXhEAM","channel 2")</f>
        <v>channel 2</v>
      </c>
    </row>
    <row r="27">
      <c r="B27" s="72" t="s">
        <v>1088</v>
      </c>
      <c r="C27" s="73" t="s">
        <v>268</v>
      </c>
      <c r="D27" s="74" t="s">
        <v>1209</v>
      </c>
      <c r="E27" s="36" t="str">
        <f>HYPERLINK("https://youtu.be/0JHF4lanU4w","channel 1")</f>
        <v>channel 1</v>
      </c>
    </row>
    <row r="28">
      <c r="B28" s="72" t="s">
        <v>1210</v>
      </c>
      <c r="C28" s="73" t="s">
        <v>88</v>
      </c>
      <c r="D28" s="74" t="s">
        <v>873</v>
      </c>
      <c r="E28" s="66" t="str">
        <f>HYPERLINK("https://youtu.be/QeHMgF5kgHc","channel 2")</f>
        <v>channel 2</v>
      </c>
    </row>
    <row r="29">
      <c r="B29" s="72" t="s">
        <v>1088</v>
      </c>
      <c r="C29" s="73" t="s">
        <v>337</v>
      </c>
      <c r="D29" s="74" t="s">
        <v>400</v>
      </c>
      <c r="E29" s="36" t="str">
        <f>HYPERLINK("https://youtu.be/IWh3Q2B24JQ","channel 1")</f>
        <v>channel 1</v>
      </c>
    </row>
    <row r="30">
      <c r="B30" s="72" t="s">
        <v>1210</v>
      </c>
      <c r="C30" s="73" t="s">
        <v>47</v>
      </c>
      <c r="D30" s="74" t="s">
        <v>1209</v>
      </c>
      <c r="E30" s="66" t="str">
        <f>HYPERLINK("https://youtu.be/NH0eVVA1w1k","channel 2")</f>
        <v>channel 2</v>
      </c>
    </row>
    <row r="31">
      <c r="B31" s="72" t="s">
        <v>1088</v>
      </c>
      <c r="C31" s="73" t="s">
        <v>311</v>
      </c>
      <c r="D31" s="74" t="s">
        <v>873</v>
      </c>
      <c r="E31" s="36" t="str">
        <f>HYPERLINK("https://youtu.be/wDCGg6AUS20","channel 1")</f>
        <v>channel 1</v>
      </c>
    </row>
    <row r="32">
      <c r="B32" s="72" t="s">
        <v>400</v>
      </c>
      <c r="C32" s="73" t="s">
        <v>223</v>
      </c>
      <c r="D32" s="74" t="s">
        <v>1209</v>
      </c>
      <c r="E32" s="66" t="str">
        <f>HYPERLINK("https://youtu.be/f__bI32P01k","channel 2")</f>
        <v>channel 2</v>
      </c>
    </row>
    <row r="33">
      <c r="B33" s="72" t="s">
        <v>1088</v>
      </c>
      <c r="C33" s="73" t="s">
        <v>255</v>
      </c>
      <c r="D33" s="74" t="s">
        <v>1210</v>
      </c>
      <c r="E33" s="36" t="str">
        <f>HYPERLINK("https://youtu.be/V6g0xIT2yCI","channel 1")</f>
        <v>channel 1</v>
      </c>
    </row>
    <row r="34">
      <c r="B34" s="72" t="s">
        <v>400</v>
      </c>
      <c r="C34" s="73" t="s">
        <v>138</v>
      </c>
      <c r="D34" s="74" t="s">
        <v>873</v>
      </c>
      <c r="E34" s="66" t="str">
        <f>HYPERLINK("https://youtu.be/9p2QKAqf5ps","channel 2")</f>
        <v>channel 2</v>
      </c>
    </row>
    <row r="35">
      <c r="B35" s="72" t="s">
        <v>873</v>
      </c>
      <c r="C35" s="73" t="s">
        <v>157</v>
      </c>
      <c r="D35" s="74" t="s">
        <v>1209</v>
      </c>
      <c r="E35" s="36" t="str">
        <f>HYPERLINK("https://youtu.be/dFygZ2EFrZA","channel 1")</f>
        <v>channel 1</v>
      </c>
    </row>
    <row r="36">
      <c r="B36" s="72" t="s">
        <v>400</v>
      </c>
      <c r="C36" s="73" t="s">
        <v>117</v>
      </c>
      <c r="D36" s="74" t="s">
        <v>1210</v>
      </c>
      <c r="E36" s="66" t="str">
        <f>HYPERLINK("https://youtu.be/6DyZuCcIumw","channel 2")</f>
        <v>channel 2</v>
      </c>
    </row>
    <row r="37">
      <c r="B37" s="72" t="s">
        <v>1209</v>
      </c>
      <c r="C37" s="73" t="s">
        <v>85</v>
      </c>
      <c r="D37" s="74" t="s">
        <v>1088</v>
      </c>
      <c r="E37" s="36" t="str">
        <f>HYPERLINK("https://youtu.be/8fMs3akPtLU","channel 1")</f>
        <v>channel 1</v>
      </c>
    </row>
    <row r="38">
      <c r="B38" s="72" t="s">
        <v>873</v>
      </c>
      <c r="C38" s="73" t="s">
        <v>477</v>
      </c>
      <c r="D38" s="74" t="s">
        <v>1210</v>
      </c>
      <c r="E38" s="66" t="str">
        <f>HYPERLINK("https://youtu.be/G1INRTkCav0","channel 2")</f>
        <v>channel 2</v>
      </c>
    </row>
    <row r="39">
      <c r="B39" s="72" t="s">
        <v>400</v>
      </c>
      <c r="C39" s="38" t="s">
        <v>57</v>
      </c>
      <c r="D39" s="74" t="s">
        <v>1088</v>
      </c>
      <c r="E39" s="36" t="str">
        <f>HYPERLINK("https://youtu.be/7PYtz7Q2GCM","channel 1")</f>
        <v>channel 1</v>
      </c>
    </row>
    <row r="40">
      <c r="B40" s="72" t="s">
        <v>1209</v>
      </c>
      <c r="C40" s="73" t="s">
        <v>188</v>
      </c>
      <c r="D40" s="74" t="s">
        <v>1210</v>
      </c>
      <c r="E40" s="66" t="str">
        <f>HYPERLINK("https://youtu.be/Mz7kMdsdNzs","channel 2")</f>
        <v>channel 2</v>
      </c>
    </row>
    <row r="41">
      <c r="B41" s="72" t="s">
        <v>873</v>
      </c>
      <c r="C41" s="73" t="s">
        <v>339</v>
      </c>
      <c r="D41" s="74" t="s">
        <v>1088</v>
      </c>
      <c r="E41" s="36" t="str">
        <f>HYPERLINK("https://youtu.be/o60DsW-Bj6w","channel 1")</f>
        <v>channel 1</v>
      </c>
    </row>
    <row r="42">
      <c r="B42" s="72" t="s">
        <v>1209</v>
      </c>
      <c r="C42" s="73" t="s">
        <v>598</v>
      </c>
      <c r="D42" s="74" t="s">
        <v>400</v>
      </c>
      <c r="E42" s="66" t="str">
        <f>HYPERLINK("https://youtu.be/_QU0zPj1WbA","channel 2")</f>
        <v>channel 2</v>
      </c>
    </row>
    <row r="43">
      <c r="B43" s="72" t="s">
        <v>1210</v>
      </c>
      <c r="C43" s="73" t="s">
        <v>350</v>
      </c>
      <c r="D43" s="74" t="s">
        <v>1088</v>
      </c>
      <c r="E43" s="36" t="str">
        <f>HYPERLINK("https://youtu.be/3MDgycX9S1g","channel 1")</f>
        <v>channel 1</v>
      </c>
    </row>
    <row r="44">
      <c r="B44" s="72" t="s">
        <v>873</v>
      </c>
      <c r="C44" s="73" t="s">
        <v>44</v>
      </c>
      <c r="D44" s="74" t="s">
        <v>400</v>
      </c>
      <c r="E44" s="66" t="str">
        <f>HYPERLINK("https://youtu.be/D3vrVaYbL1I","channel 2")</f>
        <v>channel 2</v>
      </c>
    </row>
    <row r="45">
      <c r="B45" s="58" t="s">
        <v>597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1211</v>
      </c>
      <c r="C47" s="70" t="s">
        <v>42</v>
      </c>
      <c r="D47" s="71" t="s">
        <v>1212</v>
      </c>
      <c r="E47" s="36" t="str">
        <f>HYPERLINK("https://youtu.be/9SlGWm8H8gQ","channel 1")</f>
        <v>channel 1</v>
      </c>
    </row>
    <row r="48">
      <c r="B48" s="72" t="s">
        <v>1213</v>
      </c>
      <c r="C48" s="73" t="s">
        <v>307</v>
      </c>
      <c r="D48" s="74" t="s">
        <v>1214</v>
      </c>
      <c r="E48" s="66" t="str">
        <f>HYPERLINK("https://youtu.be/dsdBF6g7zPY","channel 2")</f>
        <v>channel 2</v>
      </c>
    </row>
    <row r="49">
      <c r="B49" s="72" t="s">
        <v>1215</v>
      </c>
      <c r="C49" s="73" t="s">
        <v>216</v>
      </c>
      <c r="D49" s="74" t="s">
        <v>1211</v>
      </c>
      <c r="E49" s="36" t="str">
        <f>HYPERLINK("https://youtu.be/YfkvVdXNYA8","channel 1")</f>
        <v>channel 1</v>
      </c>
    </row>
    <row r="50">
      <c r="B50" s="72" t="s">
        <v>1213</v>
      </c>
      <c r="C50" s="73" t="s">
        <v>145</v>
      </c>
      <c r="D50" s="74" t="s">
        <v>1212</v>
      </c>
      <c r="E50" s="66" t="str">
        <f>HYPERLINK("https://youtu.be/F1wV3ns9LiU","channel 2")</f>
        <v>channel 2</v>
      </c>
    </row>
    <row r="51">
      <c r="B51" s="72" t="s">
        <v>1215</v>
      </c>
      <c r="C51" s="73" t="s">
        <v>212</v>
      </c>
      <c r="D51" s="74" t="s">
        <v>1214</v>
      </c>
      <c r="E51" s="36" t="str">
        <f>HYPERLINK("https://youtu.be/nHiGJn0OSIU","channel 1")</f>
        <v>channel 1</v>
      </c>
    </row>
    <row r="52">
      <c r="B52" s="72" t="s">
        <v>1213</v>
      </c>
      <c r="C52" s="73" t="s">
        <v>148</v>
      </c>
      <c r="D52" s="74" t="s">
        <v>1211</v>
      </c>
      <c r="E52" s="66" t="str">
        <f>HYPERLINK("https://youtu.be/7CAPAQ9z6Ls","channel 2")</f>
        <v>channel 2</v>
      </c>
    </row>
    <row r="53">
      <c r="B53" s="72" t="s">
        <v>1215</v>
      </c>
      <c r="C53" s="73" t="s">
        <v>911</v>
      </c>
      <c r="D53" s="74" t="s">
        <v>1212</v>
      </c>
      <c r="E53" s="36" t="str">
        <f>HYPERLINK("https://youtu.be/PkFceEJYhPk","channel 1")</f>
        <v>channel 1</v>
      </c>
    </row>
    <row r="54">
      <c r="B54" s="72" t="s">
        <v>1214</v>
      </c>
      <c r="C54" s="73" t="s">
        <v>216</v>
      </c>
      <c r="D54" s="74" t="s">
        <v>1211</v>
      </c>
      <c r="E54" s="66" t="str">
        <f>HYPERLINK("https://youtu.be/r8fljZZ0DM8","channel 2")</f>
        <v>channel 2</v>
      </c>
    </row>
    <row r="55">
      <c r="B55" s="72" t="s">
        <v>1215</v>
      </c>
      <c r="C55" s="73" t="s">
        <v>1216</v>
      </c>
      <c r="D55" s="74" t="s">
        <v>1213</v>
      </c>
      <c r="E55" s="36" t="str">
        <f>HYPERLINK("https://youtu.be/YkJlPqZUYec","channel 1")</f>
        <v>channel 1</v>
      </c>
    </row>
    <row r="56">
      <c r="B56" s="72" t="s">
        <v>1214</v>
      </c>
      <c r="C56" s="73" t="s">
        <v>338</v>
      </c>
      <c r="D56" s="74" t="s">
        <v>1212</v>
      </c>
      <c r="E56" s="66" t="str">
        <f>HYPERLINK("https://youtu.be/7yOER9MPVUA","channel 2")</f>
        <v>channel 2</v>
      </c>
    </row>
    <row r="57">
      <c r="B57" s="72" t="s">
        <v>1212</v>
      </c>
      <c r="C57" s="73" t="s">
        <v>180</v>
      </c>
      <c r="D57" s="74" t="s">
        <v>1211</v>
      </c>
      <c r="E57" s="36" t="str">
        <f>HYPERLINK("https://youtu.be/Wc2X3LvrEtg","channel 1")</f>
        <v>channel 1</v>
      </c>
    </row>
    <row r="58">
      <c r="B58" s="72" t="s">
        <v>1214</v>
      </c>
      <c r="C58" s="73" t="s">
        <v>309</v>
      </c>
      <c r="D58" s="74" t="s">
        <v>1213</v>
      </c>
      <c r="E58" s="66" t="str">
        <f>HYPERLINK("https://youtu.be/8d_yq8y11ic","channel 2")</f>
        <v>channel 2</v>
      </c>
    </row>
    <row r="59">
      <c r="B59" s="72" t="s">
        <v>1211</v>
      </c>
      <c r="C59" s="73" t="s">
        <v>24</v>
      </c>
      <c r="D59" s="74" t="s">
        <v>1215</v>
      </c>
      <c r="E59" s="36" t="str">
        <f>HYPERLINK("https://youtu.be/wWo2aoLXz5A","channel 1")</f>
        <v>channel 1</v>
      </c>
    </row>
    <row r="60">
      <c r="B60" s="72" t="s">
        <v>1212</v>
      </c>
      <c r="C60" s="73" t="s">
        <v>37</v>
      </c>
      <c r="D60" s="74" t="s">
        <v>1213</v>
      </c>
      <c r="E60" s="66" t="str">
        <f>HYPERLINK("https://youtu.be/d9RAbKE-Las","channel 2")</f>
        <v>channel 2</v>
      </c>
    </row>
    <row r="61">
      <c r="B61" s="72" t="s">
        <v>1214</v>
      </c>
      <c r="C61" s="73" t="s">
        <v>538</v>
      </c>
      <c r="D61" s="74" t="s">
        <v>1215</v>
      </c>
      <c r="E61" s="36" t="str">
        <f>HYPERLINK("https://youtu.be/Tx2-gJxCxPM","channel 1")</f>
        <v>channel 1</v>
      </c>
    </row>
    <row r="62">
      <c r="B62" s="72" t="s">
        <v>1211</v>
      </c>
      <c r="C62" s="75" t="s">
        <v>521</v>
      </c>
      <c r="D62" s="74" t="s">
        <v>1213</v>
      </c>
      <c r="E62" s="66" t="str">
        <f>HYPERLINK("https://youtu.be/iptmqOVmqn4","channel 2")</f>
        <v>channel 2</v>
      </c>
    </row>
    <row r="63">
      <c r="B63" s="72" t="s">
        <v>1212</v>
      </c>
      <c r="C63" s="73" t="s">
        <v>46</v>
      </c>
      <c r="D63" s="74" t="s">
        <v>1215</v>
      </c>
      <c r="E63" s="36" t="str">
        <f>HYPERLINK("https://youtu.be/2hqMTBdc9Gk","channel 1")</f>
        <v>channel 1</v>
      </c>
    </row>
    <row r="64">
      <c r="B64" s="72" t="s">
        <v>1211</v>
      </c>
      <c r="C64" s="73" t="s">
        <v>1217</v>
      </c>
      <c r="D64" s="74" t="s">
        <v>1214</v>
      </c>
      <c r="E64" s="66" t="str">
        <f>HYPERLINK("https://youtu.be/euS5Fw1q-xQ","channel 2")</f>
        <v>channel 2</v>
      </c>
    </row>
    <row r="65">
      <c r="B65" s="72" t="s">
        <v>1213</v>
      </c>
      <c r="C65" s="73" t="s">
        <v>398</v>
      </c>
      <c r="D65" s="74" t="s">
        <v>1215</v>
      </c>
      <c r="E65" s="36" t="str">
        <f>HYPERLINK("https://youtu.be/SAgjrOGKg8I","channel 1")</f>
        <v>channel 1</v>
      </c>
    </row>
    <row r="66">
      <c r="B66" s="72" t="s">
        <v>1212</v>
      </c>
      <c r="C66" s="73" t="s">
        <v>230</v>
      </c>
      <c r="D66" s="74" t="s">
        <v>1214</v>
      </c>
      <c r="E66" s="66" t="str">
        <f>HYPERLINK("https://youtu.be/8h_ZWSap9Do","channel 2")</f>
        <v>channel 2</v>
      </c>
    </row>
    <row r="67">
      <c r="B67" s="58" t="s">
        <v>229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1218</v>
      </c>
      <c r="C69" s="70" t="s">
        <v>11</v>
      </c>
      <c r="D69" s="71" t="s">
        <v>1219</v>
      </c>
      <c r="E69" s="36" t="str">
        <f>HYPERLINK("https://youtu.be/BUg-DBb5Z9E","channel 1")</f>
        <v>channel 1</v>
      </c>
    </row>
    <row r="70">
      <c r="B70" s="72" t="s">
        <v>1220</v>
      </c>
      <c r="C70" s="73" t="s">
        <v>319</v>
      </c>
      <c r="D70" s="74" t="s">
        <v>1221</v>
      </c>
      <c r="E70" s="66" t="str">
        <f>HYPERLINK("https://youtu.be/n7a0ZBCaeyg","channel 2")</f>
        <v>channel 2</v>
      </c>
    </row>
    <row r="71">
      <c r="B71" s="72" t="s">
        <v>1222</v>
      </c>
      <c r="C71" s="73" t="s">
        <v>1223</v>
      </c>
      <c r="D71" s="74" t="s">
        <v>1218</v>
      </c>
      <c r="E71" s="36" t="str">
        <f>HYPERLINK("https://youtu.be/GtGtAjRQzqA","channel 1")</f>
        <v>channel 1</v>
      </c>
    </row>
    <row r="72">
      <c r="B72" s="72" t="s">
        <v>1220</v>
      </c>
      <c r="C72" s="73" t="s">
        <v>104</v>
      </c>
      <c r="D72" s="74" t="s">
        <v>1219</v>
      </c>
      <c r="E72" s="66" t="str">
        <f>HYPERLINK("https://youtu.be/hFn2a9_-M8g","channel 2")</f>
        <v>channel 2</v>
      </c>
    </row>
    <row r="73">
      <c r="B73" s="72" t="s">
        <v>1222</v>
      </c>
      <c r="C73" s="73" t="s">
        <v>758</v>
      </c>
      <c r="D73" s="74" t="s">
        <v>1221</v>
      </c>
      <c r="E73" s="36" t="str">
        <f>HYPERLINK("https://youtu.be/axAkakUw6m0","channel 1")</f>
        <v>channel 1</v>
      </c>
    </row>
    <row r="74">
      <c r="B74" s="72" t="s">
        <v>1220</v>
      </c>
      <c r="C74" s="73" t="s">
        <v>232</v>
      </c>
      <c r="D74" s="74" t="s">
        <v>1218</v>
      </c>
      <c r="E74" s="66" t="str">
        <f>HYPERLINK("https://youtu.be/ugVKCPku5AQ","channel 2")</f>
        <v>channel 2</v>
      </c>
    </row>
    <row r="75">
      <c r="B75" s="72" t="s">
        <v>1222</v>
      </c>
      <c r="C75" s="73" t="s">
        <v>104</v>
      </c>
      <c r="D75" s="74" t="s">
        <v>1219</v>
      </c>
      <c r="E75" s="36" t="str">
        <f>HYPERLINK("https://youtu.be/QdCuOwUryCU","channel 1")</f>
        <v>channel 1</v>
      </c>
    </row>
    <row r="76">
      <c r="B76" s="72" t="s">
        <v>1221</v>
      </c>
      <c r="C76" s="73" t="s">
        <v>49</v>
      </c>
      <c r="D76" s="74" t="s">
        <v>1218</v>
      </c>
      <c r="E76" s="66" t="str">
        <f>HYPERLINK("https://youtu.be/tw22h628Yjk","channel 2")</f>
        <v>channel 2</v>
      </c>
    </row>
    <row r="77">
      <c r="B77" s="72" t="s">
        <v>1222</v>
      </c>
      <c r="C77" s="73" t="s">
        <v>117</v>
      </c>
      <c r="D77" s="74" t="s">
        <v>1220</v>
      </c>
      <c r="E77" s="36" t="str">
        <f>HYPERLINK("https://youtu.be/X3L9yMT8tAE","channel 1")</f>
        <v>channel 1</v>
      </c>
    </row>
    <row r="78">
      <c r="B78" s="72" t="s">
        <v>1221</v>
      </c>
      <c r="C78" s="73" t="s">
        <v>105</v>
      </c>
      <c r="D78" s="74" t="s">
        <v>1219</v>
      </c>
      <c r="E78" s="66" t="str">
        <f>HYPERLINK("https://youtu.be/Z8UfHBPRq9Q","channel 2")</f>
        <v>channel 2</v>
      </c>
    </row>
    <row r="79">
      <c r="B79" s="72" t="s">
        <v>1219</v>
      </c>
      <c r="C79" s="73" t="s">
        <v>144</v>
      </c>
      <c r="D79" s="74" t="s">
        <v>1218</v>
      </c>
      <c r="E79" s="36" t="str">
        <f>HYPERLINK("https://youtu.be/MhH_zXb4yYY","channel 1")</f>
        <v>channel 1</v>
      </c>
    </row>
    <row r="80">
      <c r="B80" s="72" t="s">
        <v>1221</v>
      </c>
      <c r="C80" s="73" t="s">
        <v>281</v>
      </c>
      <c r="D80" s="74" t="s">
        <v>1220</v>
      </c>
      <c r="E80" s="66" t="str">
        <f>HYPERLINK("https://youtu.be/KdcCFarC_Dk","channel 2")</f>
        <v>channel 2</v>
      </c>
    </row>
    <row r="81">
      <c r="B81" s="72" t="s">
        <v>1218</v>
      </c>
      <c r="C81" s="73" t="s">
        <v>311</v>
      </c>
      <c r="D81" s="74" t="s">
        <v>1222</v>
      </c>
      <c r="E81" s="36" t="str">
        <f>HYPERLINK("https://youtu.be/TAddVxOJNJ0","channel 1")</f>
        <v>channel 1</v>
      </c>
    </row>
    <row r="82">
      <c r="B82" s="72" t="s">
        <v>1219</v>
      </c>
      <c r="C82" s="73" t="s">
        <v>49</v>
      </c>
      <c r="D82" s="74" t="s">
        <v>1220</v>
      </c>
      <c r="E82" s="66" t="str">
        <f>HYPERLINK("https://youtu.be/Ez4VE5uHlMc","channel 2")</f>
        <v>channel 2</v>
      </c>
    </row>
    <row r="83">
      <c r="B83" s="72" t="s">
        <v>1221</v>
      </c>
      <c r="C83" s="73" t="s">
        <v>84</v>
      </c>
      <c r="D83" s="74" t="s">
        <v>1222</v>
      </c>
      <c r="E83" s="36" t="str">
        <f>HYPERLINK("https://youtu.be/V1DiivWjBUo","channel 1")</f>
        <v>channel 1</v>
      </c>
    </row>
    <row r="84">
      <c r="B84" s="72" t="s">
        <v>1218</v>
      </c>
      <c r="C84" s="73" t="s">
        <v>265</v>
      </c>
      <c r="D84" s="74" t="s">
        <v>1220</v>
      </c>
      <c r="E84" s="66" t="str">
        <f>HYPERLINK("https://youtu.be/s5zY2aAiCqk","channel 2")</f>
        <v>channel 2</v>
      </c>
    </row>
    <row r="85">
      <c r="B85" s="72" t="s">
        <v>1219</v>
      </c>
      <c r="C85" s="73" t="s">
        <v>854</v>
      </c>
      <c r="D85" s="74" t="s">
        <v>1222</v>
      </c>
      <c r="E85" s="36" t="str">
        <f>HYPERLINK("https://youtu.be/lNH14JOu2Y4","channel 1")</f>
        <v>channel 1</v>
      </c>
    </row>
    <row r="86">
      <c r="B86" s="72" t="s">
        <v>1218</v>
      </c>
      <c r="C86" s="73" t="s">
        <v>538</v>
      </c>
      <c r="D86" s="74" t="s">
        <v>1221</v>
      </c>
      <c r="E86" s="66" t="str">
        <f>HYPERLINK("https://youtu.be/B2R5-ihNASU","channel 2")</f>
        <v>channel 2</v>
      </c>
    </row>
    <row r="87">
      <c r="B87" s="72" t="s">
        <v>1220</v>
      </c>
      <c r="C87" s="73" t="s">
        <v>99</v>
      </c>
      <c r="D87" s="74" t="s">
        <v>1222</v>
      </c>
      <c r="E87" s="36" t="str">
        <f>HYPERLINK("https://youtu.be/UkZ4sA7-oh0","channel 1")</f>
        <v>channel 1</v>
      </c>
    </row>
    <row r="88">
      <c r="B88" s="72" t="s">
        <v>1219</v>
      </c>
      <c r="C88" s="73" t="s">
        <v>675</v>
      </c>
      <c r="D88" s="74" t="s">
        <v>1221</v>
      </c>
      <c r="E88" s="66" t="str">
        <f>HYPERLINK("https://youtu.be/ONCvtMeGVI8","channel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531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1224</v>
      </c>
      <c r="C3" s="12" t="s">
        <v>88</v>
      </c>
      <c r="D3" s="28" t="s">
        <v>1225</v>
      </c>
      <c r="E3" s="36" t="str">
        <f>HYPERLINK("https://youtu.be/XmIgv69p8gM","channel 1")</f>
        <v>channel 1</v>
      </c>
    </row>
    <row r="4">
      <c r="B4" s="10" t="s">
        <v>380</v>
      </c>
      <c r="C4" s="12" t="s">
        <v>99</v>
      </c>
      <c r="D4" s="10" t="s">
        <v>1172</v>
      </c>
      <c r="E4" s="66" t="str">
        <f>HYPERLINK("https://youtu.be/VkGDr6Uh8iM","channel 2")</f>
        <v>channel 2</v>
      </c>
    </row>
    <row r="5">
      <c r="B5" s="10" t="s">
        <v>382</v>
      </c>
      <c r="C5" s="12" t="s">
        <v>97</v>
      </c>
      <c r="D5" s="10" t="s">
        <v>1224</v>
      </c>
      <c r="E5" s="36" t="str">
        <f>HYPERLINK("https://youtu.be/CoP_IDvL5_8","channel 1")</f>
        <v>channel 1</v>
      </c>
    </row>
    <row r="6">
      <c r="B6" s="10" t="s">
        <v>380</v>
      </c>
      <c r="C6" s="12" t="s">
        <v>553</v>
      </c>
      <c r="D6" s="28" t="s">
        <v>1225</v>
      </c>
      <c r="E6" s="66" t="str">
        <f>HYPERLINK("https://youtu.be/VzZ4Em_Z7A0","channel 2")</f>
        <v>channel 2</v>
      </c>
    </row>
    <row r="7">
      <c r="B7" s="10" t="s">
        <v>382</v>
      </c>
      <c r="C7" s="12" t="s">
        <v>698</v>
      </c>
      <c r="D7" s="10" t="s">
        <v>1172</v>
      </c>
      <c r="E7" s="36" t="str">
        <f>HYPERLINK("https://youtu.be/bR1zNytzW9I","channel 1")</f>
        <v>channel 1</v>
      </c>
    </row>
    <row r="8">
      <c r="B8" s="10" t="s">
        <v>380</v>
      </c>
      <c r="C8" s="12" t="s">
        <v>32</v>
      </c>
      <c r="D8" s="10" t="s">
        <v>1224</v>
      </c>
      <c r="E8" s="66" t="str">
        <f>HYPERLINK("https://youtu.be/XZ3-IXC8tgI","channel 2")</f>
        <v>channel 2</v>
      </c>
    </row>
    <row r="9">
      <c r="B9" s="10" t="s">
        <v>382</v>
      </c>
      <c r="C9" s="12" t="s">
        <v>168</v>
      </c>
      <c r="D9" s="28" t="s">
        <v>1225</v>
      </c>
      <c r="E9" s="36" t="str">
        <f>HYPERLINK("https://youtu.be/nK6gzrWgSw8","channel 1")</f>
        <v>channel 1</v>
      </c>
    </row>
    <row r="10">
      <c r="B10" s="10" t="s">
        <v>1172</v>
      </c>
      <c r="C10" s="12" t="s">
        <v>141</v>
      </c>
      <c r="D10" s="10" t="s">
        <v>1224</v>
      </c>
      <c r="E10" s="66" t="str">
        <f>HYPERLINK("https://youtu.be/bERu6vKzVck","channel 2")</f>
        <v>channel 2</v>
      </c>
    </row>
    <row r="11">
      <c r="B11" s="10" t="s">
        <v>382</v>
      </c>
      <c r="C11" s="12" t="s">
        <v>10</v>
      </c>
      <c r="D11" s="10" t="s">
        <v>380</v>
      </c>
      <c r="E11" s="36" t="str">
        <f>HYPERLINK("https://youtu.be/_lCbaeuPkD4","channel 1")</f>
        <v>channel 1</v>
      </c>
    </row>
    <row r="12">
      <c r="B12" s="10" t="s">
        <v>1172</v>
      </c>
      <c r="C12" s="12" t="s">
        <v>38</v>
      </c>
      <c r="D12" s="28" t="s">
        <v>1225</v>
      </c>
      <c r="E12" s="66" t="str">
        <f>HYPERLINK("https://youtu.be/THfBBt0n4_A","channel 2")</f>
        <v>channel 2</v>
      </c>
    </row>
    <row r="13">
      <c r="B13" s="28" t="s">
        <v>1225</v>
      </c>
      <c r="C13" s="12" t="s">
        <v>42</v>
      </c>
      <c r="D13" s="10" t="s">
        <v>1224</v>
      </c>
      <c r="E13" s="36" t="str">
        <f>HYPERLINK("https://youtu.be/Q-MOHEoDvcg","channel 1")</f>
        <v>channel 1</v>
      </c>
    </row>
    <row r="14">
      <c r="B14" s="10" t="s">
        <v>1172</v>
      </c>
      <c r="C14" s="12" t="s">
        <v>93</v>
      </c>
      <c r="D14" s="10" t="s">
        <v>380</v>
      </c>
      <c r="E14" s="66" t="str">
        <f>HYPERLINK("https://youtu.be/0fiEcJErB_c","channel 2")</f>
        <v>channel 2</v>
      </c>
    </row>
    <row r="15">
      <c r="B15" s="10" t="s">
        <v>1224</v>
      </c>
      <c r="C15" s="12" t="s">
        <v>117</v>
      </c>
      <c r="D15" s="10" t="s">
        <v>382</v>
      </c>
      <c r="E15" s="36" t="str">
        <f>HYPERLINK("https://youtu.be/qk9dc5v_F5Q","channel 1")</f>
        <v>channel 1</v>
      </c>
    </row>
    <row r="16">
      <c r="B16" s="28" t="s">
        <v>1225</v>
      </c>
      <c r="C16" s="12" t="s">
        <v>194</v>
      </c>
      <c r="D16" s="10" t="s">
        <v>380</v>
      </c>
      <c r="E16" s="66" t="str">
        <f>HYPERLINK("https://youtu.be/B4qlVCb6PKs","channel 2")</f>
        <v>channel 2</v>
      </c>
    </row>
    <row r="17">
      <c r="B17" s="10" t="s">
        <v>1172</v>
      </c>
      <c r="C17" s="12" t="s">
        <v>179</v>
      </c>
      <c r="D17" s="10" t="s">
        <v>382</v>
      </c>
      <c r="E17" s="36" t="str">
        <f>HYPERLINK("https://youtu.be/b2IQbC8g2tI","channel 1")</f>
        <v>channel 1</v>
      </c>
    </row>
    <row r="18">
      <c r="B18" s="10" t="s">
        <v>1224</v>
      </c>
      <c r="C18" s="12" t="s">
        <v>34</v>
      </c>
      <c r="D18" s="10" t="s">
        <v>380</v>
      </c>
      <c r="E18" s="66" t="str">
        <f>HYPERLINK("https://youtu.be/-inPQBvjUWY","channel 2")</f>
        <v>channel 2</v>
      </c>
    </row>
    <row r="19">
      <c r="B19" s="28" t="s">
        <v>1225</v>
      </c>
      <c r="C19" s="12" t="s">
        <v>99</v>
      </c>
      <c r="D19" s="10" t="s">
        <v>382</v>
      </c>
      <c r="E19" s="36" t="str">
        <f>HYPERLINK("https://youtu.be/QEQ-VwOgOPk","channel 1")</f>
        <v>channel 1</v>
      </c>
    </row>
    <row r="20">
      <c r="B20" s="10" t="s">
        <v>1224</v>
      </c>
      <c r="C20" s="12" t="s">
        <v>145</v>
      </c>
      <c r="D20" s="10" t="s">
        <v>1172</v>
      </c>
      <c r="E20" s="66" t="str">
        <f>HYPERLINK("https://youtu.be/s3ieFv6jsE0","channel 2")</f>
        <v>channel 2</v>
      </c>
    </row>
    <row r="21">
      <c r="B21" s="10" t="s">
        <v>380</v>
      </c>
      <c r="C21" s="12" t="s">
        <v>32</v>
      </c>
      <c r="D21" s="10" t="s">
        <v>382</v>
      </c>
      <c r="E21" s="36" t="str">
        <f>HYPERLINK("https://youtu.be/7PAWQH84yOA","channel 1")</f>
        <v>channel 1</v>
      </c>
    </row>
    <row r="22">
      <c r="B22" s="28" t="s">
        <v>1225</v>
      </c>
      <c r="C22" s="12" t="s">
        <v>108</v>
      </c>
      <c r="D22" s="10" t="s">
        <v>1172</v>
      </c>
      <c r="E22" s="65" t="s">
        <v>28</v>
      </c>
    </row>
    <row r="23">
      <c r="B23" s="58" t="s">
        <v>676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1226</v>
      </c>
      <c r="C25" s="70" t="s">
        <v>97</v>
      </c>
      <c r="D25" s="71" t="s">
        <v>1227</v>
      </c>
      <c r="E25" s="36" t="str">
        <f>HYPERLINK("https://youtu.be/-8YcMQZP9pw","channel 1")</f>
        <v>channel 1</v>
      </c>
    </row>
    <row r="26">
      <c r="B26" s="72" t="s">
        <v>1228</v>
      </c>
      <c r="C26" s="73" t="s">
        <v>350</v>
      </c>
      <c r="D26" s="74" t="s">
        <v>1229</v>
      </c>
      <c r="E26" s="66" t="str">
        <f>HYPERLINK("https://youtu.be/2yx-08nNoo8","channel 2")</f>
        <v>channel 2</v>
      </c>
    </row>
    <row r="27">
      <c r="B27" s="72" t="s">
        <v>1009</v>
      </c>
      <c r="C27" s="73" t="s">
        <v>10</v>
      </c>
      <c r="D27" s="74" t="s">
        <v>1226</v>
      </c>
      <c r="E27" s="36" t="str">
        <f>HYPERLINK("https://youtu.be/_TNkIYbefho","channel 1")</f>
        <v>channel 1</v>
      </c>
    </row>
    <row r="28">
      <c r="B28" s="72" t="s">
        <v>1228</v>
      </c>
      <c r="C28" s="73" t="s">
        <v>237</v>
      </c>
      <c r="D28" s="74" t="s">
        <v>1227</v>
      </c>
      <c r="E28" s="66" t="str">
        <f>HYPERLINK("https://youtu.be/K0IT_t9Agvk","channel 2")</f>
        <v>channel 2</v>
      </c>
    </row>
    <row r="29">
      <c r="B29" s="72" t="s">
        <v>1009</v>
      </c>
      <c r="C29" s="73" t="s">
        <v>671</v>
      </c>
      <c r="D29" s="74" t="s">
        <v>1229</v>
      </c>
      <c r="E29" s="36" t="str">
        <f>HYPERLINK("https://youtu.be/GWeZ5wHXU1Y","channel 1")</f>
        <v>channel 1</v>
      </c>
    </row>
    <row r="30">
      <c r="B30" s="72" t="s">
        <v>1228</v>
      </c>
      <c r="C30" s="73" t="s">
        <v>214</v>
      </c>
      <c r="D30" s="74" t="s">
        <v>1226</v>
      </c>
      <c r="E30" s="66" t="str">
        <f>HYPERLINK("https://youtu.be/6UdyASen-_w","channel 2")</f>
        <v>channel 2</v>
      </c>
    </row>
    <row r="31">
      <c r="B31" s="72" t="s">
        <v>1009</v>
      </c>
      <c r="C31" s="73" t="s">
        <v>180</v>
      </c>
      <c r="D31" s="74" t="s">
        <v>1227</v>
      </c>
      <c r="E31" s="36" t="str">
        <f>HYPERLINK("https://youtu.be/Q8MuIeTYHAU","channel 1")</f>
        <v>channel 1</v>
      </c>
    </row>
    <row r="32">
      <c r="B32" s="72" t="s">
        <v>1229</v>
      </c>
      <c r="C32" s="73" t="s">
        <v>97</v>
      </c>
      <c r="D32" s="74" t="s">
        <v>1226</v>
      </c>
      <c r="E32" s="66" t="str">
        <f>HYPERLINK("https://youtu.be/SGMT8Gavdw8","channel 2")</f>
        <v>channel 2</v>
      </c>
    </row>
    <row r="33">
      <c r="B33" s="72" t="s">
        <v>1009</v>
      </c>
      <c r="C33" s="73" t="s">
        <v>179</v>
      </c>
      <c r="D33" s="74" t="s">
        <v>1228</v>
      </c>
      <c r="E33" s="36" t="str">
        <f>HYPERLINK("https://youtu.be/P-8MabmToXI","channel 1")</f>
        <v>channel 1</v>
      </c>
    </row>
    <row r="34">
      <c r="B34" s="72" t="s">
        <v>1229</v>
      </c>
      <c r="C34" s="73" t="s">
        <v>103</v>
      </c>
      <c r="D34" s="74" t="s">
        <v>1227</v>
      </c>
      <c r="E34" s="66" t="str">
        <f>HYPERLINK("https://youtu.be/vSv9dVzA8B4","channel 2")</f>
        <v>channel 2</v>
      </c>
    </row>
    <row r="35">
      <c r="B35" s="72" t="s">
        <v>1227</v>
      </c>
      <c r="C35" s="73" t="s">
        <v>37</v>
      </c>
      <c r="D35" s="74" t="s">
        <v>1226</v>
      </c>
      <c r="E35" s="36" t="str">
        <f>HYPERLINK("https://youtu.be/3_RtPMkmHb4","channel 1")</f>
        <v>channel 1</v>
      </c>
    </row>
    <row r="36">
      <c r="B36" s="72" t="s">
        <v>1229</v>
      </c>
      <c r="C36" s="73" t="s">
        <v>538</v>
      </c>
      <c r="D36" s="74" t="s">
        <v>1228</v>
      </c>
      <c r="E36" s="66" t="str">
        <f>HYPERLINK("https://youtu.be/14ZL75Mrv1Y","channel 2")</f>
        <v>channel 2</v>
      </c>
    </row>
    <row r="37">
      <c r="B37" s="72" t="s">
        <v>1226</v>
      </c>
      <c r="C37" s="73" t="s">
        <v>104</v>
      </c>
      <c r="D37" s="74" t="s">
        <v>1009</v>
      </c>
      <c r="E37" s="36" t="str">
        <f>HYPERLINK("https://youtu.be/-SqA5MLB6QY","channel 1")</f>
        <v>channel 1</v>
      </c>
    </row>
    <row r="38">
      <c r="B38" s="72" t="s">
        <v>1227</v>
      </c>
      <c r="C38" s="73" t="s">
        <v>372</v>
      </c>
      <c r="D38" s="74" t="s">
        <v>1228</v>
      </c>
      <c r="E38" s="66" t="str">
        <f>HYPERLINK("https://youtu.be/i13dfQ7_MG0","channel 2")</f>
        <v>channel 2</v>
      </c>
    </row>
    <row r="39">
      <c r="B39" s="72" t="s">
        <v>1229</v>
      </c>
      <c r="C39" s="73" t="s">
        <v>538</v>
      </c>
      <c r="D39" s="74" t="s">
        <v>1009</v>
      </c>
      <c r="E39" s="36" t="str">
        <f>HYPERLINK("https://youtu.be/QzZju6-KUqI","channel 1")</f>
        <v>channel 1</v>
      </c>
    </row>
    <row r="40">
      <c r="B40" s="72" t="s">
        <v>1226</v>
      </c>
      <c r="C40" s="73" t="s">
        <v>93</v>
      </c>
      <c r="D40" s="74" t="s">
        <v>1228</v>
      </c>
      <c r="E40" s="66" t="str">
        <f>HYPERLINK("https://youtu.be/0yfftDhAtNk","channel 2")</f>
        <v>channel 2</v>
      </c>
    </row>
    <row r="41">
      <c r="B41" s="72" t="s">
        <v>1227</v>
      </c>
      <c r="C41" s="73" t="s">
        <v>110</v>
      </c>
      <c r="D41" s="74" t="s">
        <v>1009</v>
      </c>
      <c r="E41" s="36" t="str">
        <f>HYPERLINK("https://youtu.be/owS2zh2tD3Q","channel 1")</f>
        <v>channel 1</v>
      </c>
    </row>
    <row r="42">
      <c r="B42" s="72" t="s">
        <v>1226</v>
      </c>
      <c r="C42" s="73" t="s">
        <v>37</v>
      </c>
      <c r="D42" s="74" t="s">
        <v>1229</v>
      </c>
      <c r="E42" s="66" t="str">
        <f>HYPERLINK("https://youtu.be/hx1nhoGfQIY","channel 2")</f>
        <v>channel 2</v>
      </c>
    </row>
    <row r="43">
      <c r="B43" s="72" t="s">
        <v>1228</v>
      </c>
      <c r="C43" s="73" t="s">
        <v>47</v>
      </c>
      <c r="D43" s="74" t="s">
        <v>1009</v>
      </c>
      <c r="E43" s="36" t="str">
        <f>HYPERLINK("https://youtu.be/5aF0cORxess","channel 1")</f>
        <v>channel 1</v>
      </c>
    </row>
    <row r="44">
      <c r="B44" s="72" t="s">
        <v>1227</v>
      </c>
      <c r="C44" s="73" t="s">
        <v>337</v>
      </c>
      <c r="D44" s="74" t="s">
        <v>1229</v>
      </c>
      <c r="E44" s="66" t="str">
        <f>HYPERLINK("https://youtu.be/EfwkPuUDZpo","channel 2")</f>
        <v>channel 2</v>
      </c>
    </row>
    <row r="45">
      <c r="B45" s="58" t="s">
        <v>112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1230</v>
      </c>
      <c r="C47" s="70" t="s">
        <v>37</v>
      </c>
      <c r="D47" s="71" t="s">
        <v>1231</v>
      </c>
      <c r="E47" s="36" t="str">
        <f>HYPERLINK("https://youtu.be/M38es6YGxRA","channel 1")</f>
        <v>channel 1</v>
      </c>
    </row>
    <row r="48">
      <c r="B48" s="72" t="s">
        <v>640</v>
      </c>
      <c r="C48" s="73" t="s">
        <v>46</v>
      </c>
      <c r="D48" s="74" t="s">
        <v>1232</v>
      </c>
      <c r="E48" s="66" t="str">
        <f>HYPERLINK("https://youtu.be/x-jE76Hvoso","channel 2")</f>
        <v>channel 2</v>
      </c>
    </row>
    <row r="49">
      <c r="B49" s="72" t="s">
        <v>1233</v>
      </c>
      <c r="C49" s="73" t="s">
        <v>105</v>
      </c>
      <c r="D49" s="74" t="s">
        <v>1230</v>
      </c>
      <c r="E49" s="36" t="str">
        <f>HYPERLINK("https://youtu.be/U3-T2XqMMNE","channel 1")</f>
        <v>channel 1</v>
      </c>
    </row>
    <row r="50">
      <c r="B50" s="72" t="s">
        <v>640</v>
      </c>
      <c r="C50" s="73" t="s">
        <v>322</v>
      </c>
      <c r="D50" s="74" t="s">
        <v>1231</v>
      </c>
      <c r="E50" s="66" t="str">
        <f>HYPERLINK("https://youtu.be/lU8LG74Hzko","channel 2")</f>
        <v>channel 2</v>
      </c>
    </row>
    <row r="51">
      <c r="B51" s="72" t="s">
        <v>1233</v>
      </c>
      <c r="C51" s="73" t="s">
        <v>104</v>
      </c>
      <c r="D51" s="74" t="s">
        <v>1232</v>
      </c>
      <c r="E51" s="36" t="str">
        <f>HYPERLINK("https://youtu.be/yEQyhAHPCIQ","channel 1")</f>
        <v>channel 1</v>
      </c>
    </row>
    <row r="52">
      <c r="B52" s="72" t="s">
        <v>640</v>
      </c>
      <c r="C52" s="73" t="s">
        <v>894</v>
      </c>
      <c r="D52" s="74" t="s">
        <v>1230</v>
      </c>
      <c r="E52" s="66" t="str">
        <f>HYPERLINK("https://youtu.be/w7ZEZ1FAJ64","channel 2")</f>
        <v>channel 2</v>
      </c>
    </row>
    <row r="53">
      <c r="B53" s="72" t="s">
        <v>1233</v>
      </c>
      <c r="C53" s="73" t="s">
        <v>30</v>
      </c>
      <c r="D53" s="74" t="s">
        <v>1231</v>
      </c>
      <c r="E53" s="36" t="str">
        <f>HYPERLINK("https://youtu.be/sgobhlLyMB0","channel 1")</f>
        <v>channel 1</v>
      </c>
    </row>
    <row r="54">
      <c r="B54" s="72" t="s">
        <v>1232</v>
      </c>
      <c r="C54" s="73" t="s">
        <v>49</v>
      </c>
      <c r="D54" s="74" t="s">
        <v>1230</v>
      </c>
      <c r="E54" s="66" t="str">
        <f>HYPERLINK("https://youtu.be/tZxEN0sJvfc","channel 2")</f>
        <v>channel 2</v>
      </c>
    </row>
    <row r="55">
      <c r="B55" s="72" t="s">
        <v>1233</v>
      </c>
      <c r="C55" s="73" t="s">
        <v>46</v>
      </c>
      <c r="D55" s="74" t="s">
        <v>640</v>
      </c>
      <c r="E55" s="36" t="str">
        <f>HYPERLINK("https://youtu.be/Wvv-Cxde3w4","channel 1")</f>
        <v>channel 1</v>
      </c>
    </row>
    <row r="56">
      <c r="B56" s="72" t="s">
        <v>1232</v>
      </c>
      <c r="C56" s="73" t="s">
        <v>10</v>
      </c>
      <c r="D56" s="74" t="s">
        <v>1231</v>
      </c>
      <c r="E56" s="66" t="str">
        <f>HYPERLINK("https://youtu.be/mmc8xH1mW9M","channel 2")</f>
        <v>channel 2</v>
      </c>
    </row>
    <row r="57">
      <c r="B57" s="72" t="s">
        <v>1231</v>
      </c>
      <c r="C57" s="73" t="s">
        <v>99</v>
      </c>
      <c r="D57" s="74" t="s">
        <v>1230</v>
      </c>
      <c r="E57" s="36" t="str">
        <f>HYPERLINK("https://youtu.be/a251ilC3t4E","channel 1")</f>
        <v>channel 1</v>
      </c>
    </row>
    <row r="58">
      <c r="B58" s="72" t="s">
        <v>1232</v>
      </c>
      <c r="C58" s="73" t="s">
        <v>218</v>
      </c>
      <c r="D58" s="74" t="s">
        <v>640</v>
      </c>
      <c r="E58" s="66" t="str">
        <f>HYPERLINK("https://youtu.be/TB_hTqLNIa0","channel 2")</f>
        <v>channel 2</v>
      </c>
    </row>
    <row r="59">
      <c r="B59" s="72" t="s">
        <v>1230</v>
      </c>
      <c r="C59" s="73" t="s">
        <v>103</v>
      </c>
      <c r="D59" s="74" t="s">
        <v>1233</v>
      </c>
      <c r="E59" s="36" t="str">
        <f>HYPERLINK("https://youtu.be/Da5SABBElXs","channel 1")</f>
        <v>channel 1</v>
      </c>
    </row>
    <row r="60">
      <c r="B60" s="72" t="s">
        <v>1231</v>
      </c>
      <c r="C60" s="73" t="s">
        <v>47</v>
      </c>
      <c r="D60" s="74" t="s">
        <v>640</v>
      </c>
      <c r="E60" s="66" t="str">
        <f>HYPERLINK("https://youtu.be/6dqNnWJXNh0","channel 2")</f>
        <v>channel 2</v>
      </c>
    </row>
    <row r="61">
      <c r="B61" s="72" t="s">
        <v>1232</v>
      </c>
      <c r="C61" s="76" t="s">
        <v>24</v>
      </c>
      <c r="D61" s="74" t="s">
        <v>1233</v>
      </c>
      <c r="E61" s="36" t="str">
        <f>HYPERLINK("https://youtu.be/wucwZbNvhHE","channel 1")</f>
        <v>channel 1</v>
      </c>
    </row>
    <row r="62">
      <c r="B62" s="72" t="s">
        <v>1230</v>
      </c>
      <c r="C62" s="73" t="s">
        <v>943</v>
      </c>
      <c r="D62" s="74" t="s">
        <v>640</v>
      </c>
      <c r="E62" s="66" t="str">
        <f>HYPERLINK("https://youtu.be/1K-SEJ-L6Wc","channel 2")</f>
        <v>channel 2</v>
      </c>
    </row>
    <row r="63">
      <c r="B63" s="72" t="s">
        <v>1231</v>
      </c>
      <c r="C63" s="73" t="s">
        <v>10</v>
      </c>
      <c r="D63" s="74" t="s">
        <v>1233</v>
      </c>
      <c r="E63" s="36" t="str">
        <f>HYPERLINK("https://youtu.be/eRwPZzguy7k","channel 1")</f>
        <v>channel 1</v>
      </c>
    </row>
    <row r="64">
      <c r="B64" s="72" t="s">
        <v>1230</v>
      </c>
      <c r="C64" s="73" t="s">
        <v>138</v>
      </c>
      <c r="D64" s="74" t="s">
        <v>1232</v>
      </c>
      <c r="E64" s="66" t="str">
        <f>HYPERLINK("https://youtu.be/79p7Ay6rUxs","channel 2")</f>
        <v>channel 2</v>
      </c>
    </row>
    <row r="65">
      <c r="B65" s="72" t="s">
        <v>640</v>
      </c>
      <c r="C65" s="73" t="s">
        <v>143</v>
      </c>
      <c r="D65" s="74" t="s">
        <v>1233</v>
      </c>
      <c r="E65" s="36" t="str">
        <f>HYPERLINK("https://youtu.be/wV5KhtyIH5w","channel 1")</f>
        <v>channel 1</v>
      </c>
    </row>
    <row r="66">
      <c r="B66" s="72" t="s">
        <v>1231</v>
      </c>
      <c r="C66" s="73" t="s">
        <v>157</v>
      </c>
      <c r="D66" s="74" t="s">
        <v>1232</v>
      </c>
      <c r="E66" s="66" t="str">
        <f>HYPERLINK("https://youtu.be/MxoNxZqoX7c","channel 2")</f>
        <v>channel 2</v>
      </c>
    </row>
    <row r="67">
      <c r="B67" s="58" t="s">
        <v>1235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924</v>
      </c>
      <c r="C69" s="70" t="s">
        <v>138</v>
      </c>
      <c r="D69" s="71" t="s">
        <v>1132</v>
      </c>
      <c r="E69" s="36" t="str">
        <f>HYPERLINK("https://youtu.be/DsxRdbZalFY","channel 1")</f>
        <v>channel 1</v>
      </c>
    </row>
    <row r="70">
      <c r="B70" s="72" t="s">
        <v>1023</v>
      </c>
      <c r="C70" s="73" t="s">
        <v>44</v>
      </c>
      <c r="D70" s="74" t="s">
        <v>659</v>
      </c>
      <c r="E70" s="66" t="str">
        <f>HYPERLINK("https://youtu.be/uCxE_C6AEWA","channel 2")</f>
        <v>channel 2</v>
      </c>
    </row>
    <row r="71">
      <c r="B71" s="72" t="s">
        <v>1237</v>
      </c>
      <c r="C71" s="73" t="s">
        <v>99</v>
      </c>
      <c r="D71" s="74" t="s">
        <v>924</v>
      </c>
      <c r="E71" s="36" t="str">
        <f>HYPERLINK("https://youtu.be/uWQDd5nQoiU","channel 1")</f>
        <v>channel 1</v>
      </c>
    </row>
    <row r="72">
      <c r="B72" s="72" t="s">
        <v>1023</v>
      </c>
      <c r="C72" s="73" t="s">
        <v>31</v>
      </c>
      <c r="D72" s="74" t="s">
        <v>1132</v>
      </c>
      <c r="E72" s="66" t="str">
        <f>HYPERLINK("https://youtu.be/pa83KLB-2Hg","channel 2")</f>
        <v>channel 2</v>
      </c>
    </row>
    <row r="73">
      <c r="B73" s="72" t="s">
        <v>1237</v>
      </c>
      <c r="C73" s="73" t="s">
        <v>226</v>
      </c>
      <c r="D73" s="74" t="s">
        <v>659</v>
      </c>
      <c r="E73" s="36" t="str">
        <f>HYPERLINK("https://youtu.be/qpikj65cz0Q","channel 1")</f>
        <v>channel 1</v>
      </c>
    </row>
    <row r="74">
      <c r="B74" s="72" t="s">
        <v>1023</v>
      </c>
      <c r="C74" s="73" t="s">
        <v>226</v>
      </c>
      <c r="D74" s="74" t="s">
        <v>924</v>
      </c>
      <c r="E74" s="66" t="str">
        <f>HYPERLINK("https://youtu.be/FxMZBbBgXlM","channel 2")</f>
        <v>channel 2</v>
      </c>
    </row>
    <row r="75">
      <c r="B75" s="72" t="s">
        <v>1237</v>
      </c>
      <c r="C75" s="73" t="s">
        <v>109</v>
      </c>
      <c r="D75" s="74" t="s">
        <v>1132</v>
      </c>
      <c r="E75" s="36" t="str">
        <f>HYPERLINK("https://youtu.be/VTUPyuCeW_U","channel 1")</f>
        <v>channel 1</v>
      </c>
    </row>
    <row r="76">
      <c r="B76" s="72" t="s">
        <v>659</v>
      </c>
      <c r="C76" s="73" t="s">
        <v>143</v>
      </c>
      <c r="D76" s="74" t="s">
        <v>924</v>
      </c>
      <c r="E76" s="66" t="str">
        <f>HYPERLINK("https://youtu.be/T3d3Qn-_U_0","channel 2")</f>
        <v>channel 2</v>
      </c>
    </row>
    <row r="77">
      <c r="B77" s="72" t="s">
        <v>1237</v>
      </c>
      <c r="C77" s="73" t="s">
        <v>108</v>
      </c>
      <c r="D77" s="74" t="s">
        <v>1023</v>
      </c>
      <c r="E77" s="36" t="str">
        <f>HYPERLINK("https://youtu.be/_RJOfVvhn-4","channel 1")</f>
        <v>channel 1</v>
      </c>
    </row>
    <row r="78">
      <c r="B78" s="72" t="s">
        <v>659</v>
      </c>
      <c r="C78" s="73" t="s">
        <v>37</v>
      </c>
      <c r="D78" s="74" t="s">
        <v>1132</v>
      </c>
      <c r="E78" s="66" t="str">
        <f>HYPERLINK("https://youtu.be/hyyB-g9Cbbo","channel 2")</f>
        <v>channel 2</v>
      </c>
    </row>
    <row r="79">
      <c r="B79" s="72" t="s">
        <v>1132</v>
      </c>
      <c r="C79" s="73" t="s">
        <v>1238</v>
      </c>
      <c r="D79" s="74" t="s">
        <v>924</v>
      </c>
      <c r="E79" s="36" t="str">
        <f>HYPERLINK("https://youtu.be/oHM_kXIlqZ4","channel 1")</f>
        <v>channel 1</v>
      </c>
    </row>
    <row r="80">
      <c r="B80" s="72" t="s">
        <v>659</v>
      </c>
      <c r="C80" s="73" t="s">
        <v>24</v>
      </c>
      <c r="D80" s="74" t="s">
        <v>1023</v>
      </c>
      <c r="E80" s="66" t="str">
        <f>HYPERLINK("https://youtu.be/peg7GW2vf9c","channel 2")</f>
        <v>channel 2</v>
      </c>
    </row>
    <row r="81">
      <c r="B81" s="72" t="s">
        <v>924</v>
      </c>
      <c r="C81" s="73" t="s">
        <v>20</v>
      </c>
      <c r="D81" s="74" t="s">
        <v>1237</v>
      </c>
      <c r="E81" s="36" t="str">
        <f>HYPERLINK("https://youtu.be/szsWQViD2ts","channel 1")</f>
        <v>channel 1</v>
      </c>
    </row>
    <row r="82">
      <c r="B82" s="72" t="s">
        <v>1132</v>
      </c>
      <c r="C82" s="73" t="s">
        <v>232</v>
      </c>
      <c r="D82" s="74" t="s">
        <v>1023</v>
      </c>
      <c r="E82" s="66" t="str">
        <f>HYPERLINK("https://youtu.be/6Vf02H9-Pmc","channel 2")</f>
        <v>channel 2</v>
      </c>
    </row>
    <row r="83">
      <c r="B83" s="72" t="s">
        <v>659</v>
      </c>
      <c r="C83" s="73" t="s">
        <v>46</v>
      </c>
      <c r="D83" s="74" t="s">
        <v>1237</v>
      </c>
      <c r="E83" s="36" t="str">
        <f>HYPERLINK("https://youtu.be/4eX7PuhoJlY","channel 1")</f>
        <v>channel 1</v>
      </c>
    </row>
    <row r="84">
      <c r="B84" s="72" t="s">
        <v>924</v>
      </c>
      <c r="C84" s="73" t="s">
        <v>435</v>
      </c>
      <c r="D84" s="74" t="s">
        <v>1023</v>
      </c>
      <c r="E84" s="66" t="str">
        <f>HYPERLINK("https://youtu.be/NiPq1C6I1Qk","channel 2")</f>
        <v>channel 2</v>
      </c>
    </row>
    <row r="85">
      <c r="B85" s="72" t="s">
        <v>1132</v>
      </c>
      <c r="C85" s="73" t="s">
        <v>49</v>
      </c>
      <c r="D85" s="74" t="s">
        <v>1237</v>
      </c>
      <c r="E85" s="36" t="str">
        <f>HYPERLINK("https://youtu.be/BC17bdM-fj0","channel 1")</f>
        <v>channel 1</v>
      </c>
    </row>
    <row r="86">
      <c r="B86" s="72" t="s">
        <v>924</v>
      </c>
      <c r="C86" s="73" t="s">
        <v>138</v>
      </c>
      <c r="D86" s="74" t="s">
        <v>659</v>
      </c>
      <c r="E86" s="66" t="str">
        <f>HYPERLINK("https://youtu.be/kEOxZWJQH9c","channel 2")</f>
        <v>channel 2</v>
      </c>
    </row>
    <row r="87">
      <c r="B87" s="72" t="s">
        <v>1023</v>
      </c>
      <c r="C87" s="73" t="s">
        <v>257</v>
      </c>
      <c r="D87" s="74" t="s">
        <v>1237</v>
      </c>
      <c r="E87" s="36" t="str">
        <f>HYPERLINK("https://youtu.be/qpKr9hA8epw","channel 1")</f>
        <v>channel 1</v>
      </c>
    </row>
    <row r="88">
      <c r="B88" s="72" t="s">
        <v>1132</v>
      </c>
      <c r="C88" s="73" t="s">
        <v>179</v>
      </c>
      <c r="D88" s="74" t="s">
        <v>659</v>
      </c>
      <c r="E88" s="66" t="str">
        <f>HYPERLINK("https://youtu.be/2Dki-xAZMSM","channel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1234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489</v>
      </c>
      <c r="C3" s="70" t="s">
        <v>34</v>
      </c>
      <c r="D3" s="28" t="s">
        <v>1236</v>
      </c>
      <c r="E3" s="13" t="str">
        <f>HYPERLINK("https://youtu.be/zY4h6ZGeac4","channel 1")</f>
        <v>channel 1</v>
      </c>
    </row>
    <row r="4">
      <c r="B4" s="79" t="s">
        <v>123</v>
      </c>
      <c r="C4" s="73" t="s">
        <v>101</v>
      </c>
      <c r="D4" s="79" t="s">
        <v>600</v>
      </c>
      <c r="E4" s="13" t="str">
        <f>HYPERLINK("https://youtu.be/q945mtqwzGU","channel 2")</f>
        <v>channel 2</v>
      </c>
    </row>
    <row r="5">
      <c r="B5" s="79" t="s">
        <v>1103</v>
      </c>
      <c r="C5" s="73" t="s">
        <v>213</v>
      </c>
      <c r="D5" s="79" t="s">
        <v>489</v>
      </c>
      <c r="E5" s="13" t="str">
        <f>HYPERLINK("https://youtu.be/oRptKGnA91g","channel 1")</f>
        <v>channel 1</v>
      </c>
    </row>
    <row r="6">
      <c r="B6" s="79" t="s">
        <v>123</v>
      </c>
      <c r="C6" s="73" t="s">
        <v>141</v>
      </c>
      <c r="D6" s="79" t="s">
        <v>1236</v>
      </c>
      <c r="E6" s="13" t="str">
        <f>HYPERLINK("https://youtu.be/2RcU7RHKx8Y","channel 2")</f>
        <v>channel 2</v>
      </c>
    </row>
    <row r="7">
      <c r="B7" s="79" t="s">
        <v>1103</v>
      </c>
      <c r="C7" s="73" t="s">
        <v>322</v>
      </c>
      <c r="D7" s="79" t="s">
        <v>600</v>
      </c>
      <c r="E7" s="13" t="str">
        <f>HYPERLINK("https://youtu.be/3uECzRmebnY","channel 1")</f>
        <v>channel 1</v>
      </c>
    </row>
    <row r="8">
      <c r="B8" s="79" t="s">
        <v>123</v>
      </c>
      <c r="C8" s="73" t="s">
        <v>31</v>
      </c>
      <c r="D8" s="79" t="s">
        <v>489</v>
      </c>
      <c r="E8" s="13" t="str">
        <f>HYPERLINK("https://youtu.be/QMmH1T4Le2Y","channel 2")</f>
        <v>channel 2</v>
      </c>
    </row>
    <row r="9">
      <c r="B9" s="79" t="s">
        <v>1103</v>
      </c>
      <c r="C9" s="73" t="s">
        <v>102</v>
      </c>
      <c r="D9" s="79" t="s">
        <v>1236</v>
      </c>
      <c r="E9" s="13" t="str">
        <f>HYPERLINK("https://youtu.be/9DDgOSHU9kA","channel 1")</f>
        <v>channel 1</v>
      </c>
    </row>
    <row r="10">
      <c r="B10" s="79" t="s">
        <v>600</v>
      </c>
      <c r="C10" s="73" t="s">
        <v>216</v>
      </c>
      <c r="D10" s="79" t="s">
        <v>489</v>
      </c>
      <c r="E10" s="13" t="str">
        <f>HYPERLINK("https://youtu.be/jYH8ucH-xvY","channel 2")</f>
        <v>channel 2</v>
      </c>
    </row>
    <row r="11">
      <c r="B11" s="79" t="s">
        <v>1103</v>
      </c>
      <c r="C11" s="73" t="s">
        <v>104</v>
      </c>
      <c r="D11" s="79" t="s">
        <v>123</v>
      </c>
      <c r="E11" s="13" t="str">
        <f>HYPERLINK("https://youtu.be/BrF0phD-qq8","channel 1")</f>
        <v>channel 1</v>
      </c>
    </row>
    <row r="12">
      <c r="B12" s="79" t="s">
        <v>600</v>
      </c>
      <c r="C12" s="73" t="s">
        <v>675</v>
      </c>
      <c r="D12" s="79" t="s">
        <v>1236</v>
      </c>
      <c r="E12" s="13" t="str">
        <f>HYPERLINK("https://youtu.be/JSNBXgYtPgM","channel 2")</f>
        <v>channel 2</v>
      </c>
    </row>
    <row r="13">
      <c r="B13" s="79" t="s">
        <v>1236</v>
      </c>
      <c r="C13" s="73" t="s">
        <v>90</v>
      </c>
      <c r="D13" s="79" t="s">
        <v>489</v>
      </c>
      <c r="E13" s="13" t="str">
        <f>HYPERLINK("https://youtu.be/tvGlKdQBK0M","channel 1")</f>
        <v>channel 1</v>
      </c>
    </row>
    <row r="14">
      <c r="B14" s="79" t="s">
        <v>600</v>
      </c>
      <c r="C14" s="73" t="s">
        <v>18</v>
      </c>
      <c r="D14" s="79" t="s">
        <v>123</v>
      </c>
      <c r="E14" s="13" t="str">
        <f>HYPERLINK("https://youtu.be/IQm8tJhd6UM","channel 2")</f>
        <v>channel 2</v>
      </c>
    </row>
    <row r="15">
      <c r="B15" s="79" t="s">
        <v>489</v>
      </c>
      <c r="C15" s="73" t="s">
        <v>85</v>
      </c>
      <c r="D15" s="79" t="s">
        <v>1103</v>
      </c>
      <c r="E15" s="13" t="str">
        <f>HYPERLINK("https://youtu.be/iud33tUp9_w","channel 1")</f>
        <v>channel 1</v>
      </c>
    </row>
    <row r="16">
      <c r="B16" s="79" t="s">
        <v>1236</v>
      </c>
      <c r="C16" s="73" t="s">
        <v>34</v>
      </c>
      <c r="D16" s="79" t="s">
        <v>123</v>
      </c>
      <c r="E16" s="13" t="str">
        <f>HYPERLINK("https://youtu.be/k5jkyzk6V-M","channel 2")</f>
        <v>channel 2</v>
      </c>
    </row>
    <row r="17">
      <c r="B17" s="79" t="s">
        <v>600</v>
      </c>
      <c r="C17" s="73" t="s">
        <v>278</v>
      </c>
      <c r="D17" s="79" t="s">
        <v>1103</v>
      </c>
      <c r="E17" s="13" t="str">
        <f>HYPERLINK("https://youtu.be/H3XTrBw29dU","channel 1")</f>
        <v>channel 1</v>
      </c>
    </row>
    <row r="18">
      <c r="B18" s="79" t="s">
        <v>489</v>
      </c>
      <c r="C18" s="73" t="s">
        <v>350</v>
      </c>
      <c r="D18" s="79" t="s">
        <v>123</v>
      </c>
      <c r="E18" s="13" t="str">
        <f>HYPERLINK("https://youtu.be/n9wa1V2bqyQ","channel 2")</f>
        <v>channel 2</v>
      </c>
    </row>
    <row r="19">
      <c r="B19" s="79" t="s">
        <v>1236</v>
      </c>
      <c r="C19" s="73" t="s">
        <v>228</v>
      </c>
      <c r="D19" s="79" t="s">
        <v>1103</v>
      </c>
      <c r="E19" s="13" t="str">
        <f>HYPERLINK("https://youtu.be/JYqwz75tqOs","channel 1")</f>
        <v>channel 1</v>
      </c>
    </row>
    <row r="20">
      <c r="B20" s="79" t="s">
        <v>489</v>
      </c>
      <c r="C20" s="73" t="s">
        <v>570</v>
      </c>
      <c r="D20" s="79" t="s">
        <v>600</v>
      </c>
      <c r="E20" s="13" t="str">
        <f>HYPERLINK("https://youtu.be/gbT4SgL7c_o","channel 2")</f>
        <v>channel 2</v>
      </c>
    </row>
    <row r="21">
      <c r="B21" s="79" t="s">
        <v>123</v>
      </c>
      <c r="C21" s="73" t="s">
        <v>309</v>
      </c>
      <c r="D21" s="79" t="s">
        <v>1103</v>
      </c>
      <c r="E21" s="13" t="str">
        <f>HYPERLINK("https://youtu.be/cB1Mgie10NE","channel 1")</f>
        <v>channel 1</v>
      </c>
    </row>
    <row r="22">
      <c r="B22" s="79" t="s">
        <v>1236</v>
      </c>
      <c r="C22" s="73" t="s">
        <v>724</v>
      </c>
      <c r="D22" s="79" t="s">
        <v>600</v>
      </c>
      <c r="E22" s="13" t="str">
        <f>HYPERLINK("https://youtu.be/a4YW_H9fUaA","channel 2")</f>
        <v>channel 2</v>
      </c>
    </row>
    <row r="23">
      <c r="B23" s="58" t="s">
        <v>1239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1240</v>
      </c>
      <c r="C25" s="73" t="s">
        <v>675</v>
      </c>
      <c r="D25" s="28" t="s">
        <v>1241</v>
      </c>
      <c r="E25" s="13" t="str">
        <f>HYPERLINK("https://youtu.be/sOewNgzYvd4","channel 1")</f>
        <v>channel 1</v>
      </c>
    </row>
    <row r="26">
      <c r="B26" s="79" t="s">
        <v>1140</v>
      </c>
      <c r="C26" s="73" t="s">
        <v>384</v>
      </c>
      <c r="D26" s="79" t="s">
        <v>1242</v>
      </c>
      <c r="E26" s="13" t="str">
        <f>HYPERLINK("https://youtu.be/bVbjSIhijtY","channel 2")</f>
        <v>channel 2</v>
      </c>
    </row>
    <row r="27">
      <c r="B27" s="79" t="s">
        <v>1243</v>
      </c>
      <c r="C27" s="73" t="s">
        <v>806</v>
      </c>
      <c r="D27" s="79" t="s">
        <v>1240</v>
      </c>
      <c r="E27" s="13" t="str">
        <f>HYPERLINK("https://youtu.be/97Mkrnw3jXM","channel 1")</f>
        <v>channel 1</v>
      </c>
    </row>
    <row r="28">
      <c r="B28" s="79" t="s">
        <v>1140</v>
      </c>
      <c r="C28" s="73" t="s">
        <v>109</v>
      </c>
      <c r="D28" s="79" t="s">
        <v>1241</v>
      </c>
      <c r="E28" s="13" t="str">
        <f>HYPERLINK("https://youtu.be/U2as3roJ_3I","channel 2")</f>
        <v>channel 2</v>
      </c>
    </row>
    <row r="29">
      <c r="B29" s="79" t="s">
        <v>1243</v>
      </c>
      <c r="C29" s="73" t="s">
        <v>46</v>
      </c>
      <c r="D29" s="79" t="s">
        <v>1242</v>
      </c>
      <c r="E29" s="13" t="str">
        <f>HYPERLINK("https://youtu.be/66B_S4a6XPU","channel 1")</f>
        <v>channel 1</v>
      </c>
    </row>
    <row r="30">
      <c r="B30" s="79" t="s">
        <v>1140</v>
      </c>
      <c r="C30" s="73" t="s">
        <v>111</v>
      </c>
      <c r="D30" s="79" t="s">
        <v>1240</v>
      </c>
      <c r="E30" s="13" t="str">
        <f>HYPERLINK("https://youtu.be/h46gg352pZE","channel 2")</f>
        <v>channel 2</v>
      </c>
    </row>
    <row r="31">
      <c r="B31" s="79" t="s">
        <v>1243</v>
      </c>
      <c r="C31" s="73" t="s">
        <v>49</v>
      </c>
      <c r="D31" s="79" t="s">
        <v>1241</v>
      </c>
      <c r="E31" s="13" t="str">
        <f>HYPERLINK("https://youtu.be/7Q3RtvanmNc","channel 1")</f>
        <v>channel 1</v>
      </c>
    </row>
    <row r="32">
      <c r="B32" s="79" t="s">
        <v>1242</v>
      </c>
      <c r="C32" s="81" t="s">
        <v>35</v>
      </c>
      <c r="D32" s="79" t="s">
        <v>1240</v>
      </c>
      <c r="E32" s="13" t="str">
        <f>HYPERLINK("https://youtu.be/PytnjBsoizI","channel 2")</f>
        <v>channel 2</v>
      </c>
    </row>
    <row r="33">
      <c r="B33" s="79" t="s">
        <v>1243</v>
      </c>
      <c r="C33" s="73" t="s">
        <v>34</v>
      </c>
      <c r="D33" s="79" t="s">
        <v>1140</v>
      </c>
      <c r="E33" s="13" t="str">
        <f>HYPERLINK("https://youtu.be/xbJeAZaEL3Q","channel 1")</f>
        <v>channel 1</v>
      </c>
    </row>
    <row r="34">
      <c r="B34" s="79" t="s">
        <v>1242</v>
      </c>
      <c r="C34" s="73" t="s">
        <v>106</v>
      </c>
      <c r="D34" s="79" t="s">
        <v>1241</v>
      </c>
      <c r="E34" s="13" t="str">
        <f>HYPERLINK("https://youtu.be/MvIKfsl688E","channel 2")</f>
        <v>channel 2</v>
      </c>
    </row>
    <row r="35">
      <c r="B35" s="79" t="s">
        <v>1241</v>
      </c>
      <c r="C35" s="73" t="s">
        <v>74</v>
      </c>
      <c r="D35" s="79" t="s">
        <v>1240</v>
      </c>
      <c r="E35" s="13" t="str">
        <f>HYPERLINK("https://youtu.be/KpMcYqaZEd8","channel 1")</f>
        <v>channel 1</v>
      </c>
    </row>
    <row r="36">
      <c r="B36" s="79" t="s">
        <v>1242</v>
      </c>
      <c r="C36" s="73" t="s">
        <v>145</v>
      </c>
      <c r="D36" s="79" t="s">
        <v>1140</v>
      </c>
      <c r="E36" s="13" t="str">
        <f>HYPERLINK("https://youtu.be/C5oMYiEcDiE","channel 2")</f>
        <v>channel 2</v>
      </c>
    </row>
    <row r="37">
      <c r="B37" s="79" t="s">
        <v>1240</v>
      </c>
      <c r="C37" s="73" t="s">
        <v>35</v>
      </c>
      <c r="D37" s="79" t="s">
        <v>1243</v>
      </c>
      <c r="E37" s="13" t="str">
        <f>HYPERLINK("https://youtu.be/KpMcYqaZEd8","channel 1")</f>
        <v>channel 1</v>
      </c>
    </row>
    <row r="38">
      <c r="B38" s="79" t="s">
        <v>1241</v>
      </c>
      <c r="C38" s="73" t="s">
        <v>494</v>
      </c>
      <c r="D38" s="79" t="s">
        <v>1140</v>
      </c>
      <c r="E38" s="13" t="str">
        <f>HYPERLINK("https://youtu.be/b_lzAd_KUBo","channel 2")</f>
        <v>channel 2</v>
      </c>
    </row>
    <row r="39">
      <c r="B39" s="79" t="s">
        <v>1242</v>
      </c>
      <c r="C39" s="73" t="s">
        <v>32</v>
      </c>
      <c r="D39" s="79" t="s">
        <v>1243</v>
      </c>
      <c r="E39" s="13" t="str">
        <f>HYPERLINK("https://youtu.be/YUwzo-j-EOA","channel 1")</f>
        <v>channel 1</v>
      </c>
    </row>
    <row r="40">
      <c r="B40" s="79" t="s">
        <v>1240</v>
      </c>
      <c r="C40" s="73" t="s">
        <v>905</v>
      </c>
      <c r="D40" s="79" t="s">
        <v>1140</v>
      </c>
      <c r="E40" s="13" t="str">
        <f>HYPERLINK("https://youtu.be/88X-0BYaeVo","channel 2")</f>
        <v>channel 2</v>
      </c>
    </row>
    <row r="41">
      <c r="B41" s="79" t="s">
        <v>1241</v>
      </c>
      <c r="C41" s="73" t="s">
        <v>278</v>
      </c>
      <c r="D41" s="79" t="s">
        <v>1243</v>
      </c>
      <c r="E41" s="13" t="str">
        <f>HYPERLINK("https://youtu.be/yRK84FJi96k","channel 1")</f>
        <v>channel 1</v>
      </c>
    </row>
    <row r="42">
      <c r="B42" s="79" t="s">
        <v>1240</v>
      </c>
      <c r="C42" s="73" t="s">
        <v>770</v>
      </c>
      <c r="D42" s="79" t="s">
        <v>1242</v>
      </c>
      <c r="E42" s="13" t="str">
        <f>HYPERLINK("https://youtu.be/YFeegw0Yw-I","channel 2")</f>
        <v>channel 2</v>
      </c>
    </row>
    <row r="43">
      <c r="B43" s="79" t="s">
        <v>1140</v>
      </c>
      <c r="C43" s="73" t="s">
        <v>145</v>
      </c>
      <c r="D43" s="79" t="s">
        <v>1243</v>
      </c>
      <c r="E43" s="13" t="str">
        <f>HYPERLINK("https://youtu.be/6kNgcj5U1DI","channel 1")</f>
        <v>channel 1</v>
      </c>
    </row>
    <row r="44">
      <c r="B44" s="79" t="s">
        <v>1241</v>
      </c>
      <c r="C44" s="73" t="s">
        <v>97</v>
      </c>
      <c r="D44" s="79" t="s">
        <v>1242</v>
      </c>
      <c r="E44" s="13" t="str">
        <f>HYPERLINK("https://youtu.be/og-F0rdY9vA","channel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2"/>
      <c r="C1" s="83" t="s">
        <v>1244</v>
      </c>
      <c r="D1" s="83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1016</v>
      </c>
      <c r="C3" s="70" t="s">
        <v>309</v>
      </c>
      <c r="D3" s="28" t="s">
        <v>203</v>
      </c>
      <c r="E3" s="13" t="str">
        <f>HYPERLINK("https://youtu.be/NlNDbBoZYOc","channel 1")</f>
        <v>channel 1</v>
      </c>
    </row>
    <row r="4">
      <c r="B4" s="79" t="s">
        <v>1245</v>
      </c>
      <c r="C4" s="73" t="s">
        <v>77</v>
      </c>
      <c r="D4" s="79" t="s">
        <v>123</v>
      </c>
      <c r="E4" s="13" t="str">
        <f>HYPERLINK("https://youtu.be/anaF3UsX4nE","channel 2")</f>
        <v>channel 2</v>
      </c>
    </row>
    <row r="5">
      <c r="B5" s="79" t="s">
        <v>768</v>
      </c>
      <c r="C5" s="73" t="s">
        <v>27</v>
      </c>
      <c r="D5" s="79" t="s">
        <v>1016</v>
      </c>
      <c r="E5" s="23" t="s">
        <v>26</v>
      </c>
    </row>
    <row r="6">
      <c r="B6" s="79" t="s">
        <v>1245</v>
      </c>
      <c r="C6" s="73" t="s">
        <v>37</v>
      </c>
      <c r="D6" s="79" t="s">
        <v>203</v>
      </c>
      <c r="E6" s="13" t="str">
        <f>HYPERLINK("https://youtu.be/mq9bsOq4O1c","channel 2")</f>
        <v>channel 2</v>
      </c>
    </row>
    <row r="7">
      <c r="B7" s="79" t="s">
        <v>768</v>
      </c>
      <c r="C7" s="73" t="s">
        <v>339</v>
      </c>
      <c r="D7" s="79" t="s">
        <v>123</v>
      </c>
      <c r="E7" s="13" t="str">
        <f>HYPERLINK("https://youtu.be/I0qpRbx7f60","channel 1")</f>
        <v>channel 1</v>
      </c>
    </row>
    <row r="8">
      <c r="B8" s="79" t="s">
        <v>1245</v>
      </c>
      <c r="C8" s="73" t="s">
        <v>206</v>
      </c>
      <c r="D8" s="79" t="s">
        <v>1016</v>
      </c>
      <c r="E8" s="13" t="str">
        <f>HYPERLINK("https://youtu.be/beDaHiZJcyA","channel 2")</f>
        <v>channel 2</v>
      </c>
    </row>
    <row r="9">
      <c r="B9" s="79" t="s">
        <v>768</v>
      </c>
      <c r="C9" s="73" t="s">
        <v>477</v>
      </c>
      <c r="D9" s="79" t="s">
        <v>203</v>
      </c>
      <c r="E9" s="13" t="str">
        <f>HYPERLINK("https://youtu.be/0qq8tB2lJcE","channel 1")</f>
        <v>channel 1</v>
      </c>
    </row>
    <row r="10">
      <c r="B10" s="79" t="s">
        <v>123</v>
      </c>
      <c r="C10" s="73" t="s">
        <v>555</v>
      </c>
      <c r="D10" s="79" t="s">
        <v>1016</v>
      </c>
      <c r="E10" s="13" t="str">
        <f>HYPERLINK("https://youtu.be/WMNDWTQ973o","channel 2")</f>
        <v>channel 2</v>
      </c>
    </row>
    <row r="11">
      <c r="B11" s="79" t="s">
        <v>768</v>
      </c>
      <c r="C11" s="73" t="s">
        <v>18</v>
      </c>
      <c r="D11" s="79" t="s">
        <v>1245</v>
      </c>
      <c r="E11" s="13" t="str">
        <f>HYPERLINK("https://youtu.be/_I2CuTw1W7U","channel 1")</f>
        <v>channel 1</v>
      </c>
    </row>
    <row r="12">
      <c r="B12" s="79" t="s">
        <v>123</v>
      </c>
      <c r="C12" s="73" t="s">
        <v>184</v>
      </c>
      <c r="D12" s="79" t="s">
        <v>203</v>
      </c>
      <c r="E12" s="13" t="str">
        <f>HYPERLINK("https://youtu.be/xaosXp9lyoY","channel 2")</f>
        <v>channel 2</v>
      </c>
    </row>
    <row r="13">
      <c r="B13" s="79" t="s">
        <v>203</v>
      </c>
      <c r="C13" s="73" t="s">
        <v>1246</v>
      </c>
      <c r="D13" s="79" t="s">
        <v>1016</v>
      </c>
      <c r="E13" s="13" t="str">
        <f>HYPERLINK("https://youtu.be/tOa-qzMGlbU","channel 1")</f>
        <v>channel 1</v>
      </c>
    </row>
    <row r="14">
      <c r="B14" s="79" t="s">
        <v>123</v>
      </c>
      <c r="C14" s="73" t="s">
        <v>232</v>
      </c>
      <c r="D14" s="79" t="s">
        <v>1245</v>
      </c>
      <c r="E14" s="13" t="str">
        <f>HYPERLINK("https://youtu.be/-9Hqh33i-yI","channel 2")</f>
        <v>channel 2</v>
      </c>
    </row>
    <row r="15">
      <c r="B15" s="79" t="s">
        <v>1016</v>
      </c>
      <c r="C15" s="73" t="s">
        <v>141</v>
      </c>
      <c r="D15" s="79" t="s">
        <v>768</v>
      </c>
      <c r="E15" s="13" t="str">
        <f>HYPERLINK("https://youtu.be/tFyus3I5BWA","channel 1")</f>
        <v>channel 1</v>
      </c>
    </row>
    <row r="16">
      <c r="B16" s="79" t="s">
        <v>203</v>
      </c>
      <c r="C16" s="73" t="s">
        <v>117</v>
      </c>
      <c r="D16" s="79" t="s">
        <v>1245</v>
      </c>
      <c r="E16" s="13" t="str">
        <f>HYPERLINK("https://youtu.be/9urIXL5g--I","channel 2")</f>
        <v>channel 2</v>
      </c>
    </row>
    <row r="17">
      <c r="B17" s="79" t="s">
        <v>123</v>
      </c>
      <c r="C17" s="73" t="s">
        <v>156</v>
      </c>
      <c r="D17" s="79" t="s">
        <v>768</v>
      </c>
      <c r="E17" s="13" t="str">
        <f>HYPERLINK("https://youtu.be/TGrzr3SNzH8","channel 1")</f>
        <v>channel 1</v>
      </c>
    </row>
    <row r="18">
      <c r="B18" s="79" t="s">
        <v>1016</v>
      </c>
      <c r="C18" s="73" t="s">
        <v>216</v>
      </c>
      <c r="D18" s="79" t="s">
        <v>1245</v>
      </c>
      <c r="E18" s="13" t="str">
        <f>HYPERLINK("https://youtu.be/f-NZX-S5pPo","channel 2")</f>
        <v>channel 2</v>
      </c>
    </row>
    <row r="19">
      <c r="B19" s="79" t="s">
        <v>203</v>
      </c>
      <c r="C19" s="73" t="s">
        <v>10</v>
      </c>
      <c r="D19" s="79" t="s">
        <v>768</v>
      </c>
      <c r="E19" s="13" t="str">
        <f>HYPERLINK("https://youtu.be/JL6RehX1Ork","channel 1")</f>
        <v>channel 1</v>
      </c>
    </row>
    <row r="20">
      <c r="B20" s="79" t="s">
        <v>1016</v>
      </c>
      <c r="C20" s="73" t="s">
        <v>646</v>
      </c>
      <c r="D20" s="79" t="s">
        <v>123</v>
      </c>
      <c r="E20" s="13" t="str">
        <f>HYPERLINK("https://youtu.be/IzWAEaBH6Is","channel 2")</f>
        <v>channel 2</v>
      </c>
    </row>
    <row r="21">
      <c r="B21" s="79" t="s">
        <v>1245</v>
      </c>
      <c r="C21" s="73" t="s">
        <v>277</v>
      </c>
      <c r="D21" s="79" t="s">
        <v>768</v>
      </c>
      <c r="E21" s="13" t="str">
        <f>HYPERLINK("https://youtu.be/vUbtIDliVPY","channel 1")</f>
        <v>channel 1</v>
      </c>
    </row>
    <row r="22">
      <c r="B22" s="79" t="s">
        <v>203</v>
      </c>
      <c r="C22" s="73" t="s">
        <v>759</v>
      </c>
      <c r="D22" s="79" t="s">
        <v>123</v>
      </c>
      <c r="E22" s="13" t="str">
        <f>HYPERLINK("https://youtu.be/UeC6PmLm5gE","channel 2")</f>
        <v>channel 2</v>
      </c>
    </row>
    <row r="23">
      <c r="B23" s="58" t="s">
        <v>1247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1248</v>
      </c>
      <c r="C25" s="73" t="s">
        <v>116</v>
      </c>
      <c r="D25" s="28" t="s">
        <v>1249</v>
      </c>
      <c r="E25" s="13" t="str">
        <f>HYPERLINK("https://youtu.be/igHkj9XBC8g","channel 1")</f>
        <v>channel 1</v>
      </c>
    </row>
    <row r="26">
      <c r="B26" s="79" t="s">
        <v>1250</v>
      </c>
      <c r="C26" s="73" t="s">
        <v>59</v>
      </c>
      <c r="D26" s="79" t="s">
        <v>1193</v>
      </c>
      <c r="E26" s="13" t="str">
        <f>HYPERLINK("https://youtu.be/Z1JOWS2UC2M","channel 2")</f>
        <v>channel 2</v>
      </c>
    </row>
    <row r="27">
      <c r="B27" s="79" t="s">
        <v>1251</v>
      </c>
      <c r="C27" s="73" t="s">
        <v>138</v>
      </c>
      <c r="D27" s="79" t="s">
        <v>1248</v>
      </c>
      <c r="E27" s="13" t="str">
        <f>HYPERLINK("https://youtu.be/oEMIdAei6bw","channel 1")</f>
        <v>channel 1</v>
      </c>
    </row>
    <row r="28">
      <c r="B28" s="79" t="s">
        <v>1250</v>
      </c>
      <c r="C28" s="73" t="s">
        <v>184</v>
      </c>
      <c r="D28" s="79" t="s">
        <v>1249</v>
      </c>
      <c r="E28" s="13" t="str">
        <f>HYPERLINK("https://youtu.be/8hEuzmTZig4","channel 2")</f>
        <v>channel 2</v>
      </c>
    </row>
    <row r="29">
      <c r="B29" s="79" t="s">
        <v>1251</v>
      </c>
      <c r="C29" s="73" t="s">
        <v>44</v>
      </c>
      <c r="D29" s="79" t="s">
        <v>1193</v>
      </c>
      <c r="E29" s="13" t="str">
        <f>HYPERLINK("https://youtu.be/8IZ2WTf3_18","channel 1")</f>
        <v>channel 1</v>
      </c>
    </row>
    <row r="30">
      <c r="B30" s="79" t="s">
        <v>1250</v>
      </c>
      <c r="C30" s="73" t="s">
        <v>1252</v>
      </c>
      <c r="D30" s="79" t="s">
        <v>1248</v>
      </c>
      <c r="E30" s="13" t="str">
        <f>HYPERLINK("https://youtu.be/wXw0fmjVEtw","channel 2")</f>
        <v>channel 2</v>
      </c>
    </row>
    <row r="31">
      <c r="B31" s="79" t="s">
        <v>1251</v>
      </c>
      <c r="C31" s="73" t="s">
        <v>109</v>
      </c>
      <c r="D31" s="79" t="s">
        <v>1249</v>
      </c>
      <c r="E31" s="13" t="str">
        <f>HYPERLINK("https://youtu.be/B1zw4JtnA0I","channel 1")</f>
        <v>channel 1</v>
      </c>
    </row>
    <row r="32">
      <c r="B32" s="79" t="s">
        <v>1193</v>
      </c>
      <c r="C32" s="81" t="s">
        <v>34</v>
      </c>
      <c r="D32" s="79" t="s">
        <v>1248</v>
      </c>
      <c r="E32" s="13" t="str">
        <f>HYPERLINK("https://youtu.be/hJ1TbpD6GuA","channel 2")</f>
        <v>channel 2</v>
      </c>
    </row>
    <row r="33">
      <c r="B33" s="79" t="s">
        <v>1251</v>
      </c>
      <c r="C33" s="73" t="s">
        <v>494</v>
      </c>
      <c r="D33" s="79" t="s">
        <v>1250</v>
      </c>
      <c r="E33" s="13" t="str">
        <f>HYPERLINK("https://youtu.be/zEs_3KlN9R0","channel 1")</f>
        <v>channel 1</v>
      </c>
    </row>
    <row r="34">
      <c r="B34" s="79" t="s">
        <v>1193</v>
      </c>
      <c r="C34" s="73" t="s">
        <v>322</v>
      </c>
      <c r="D34" s="79" t="s">
        <v>1249</v>
      </c>
      <c r="E34" s="13" t="str">
        <f>HYPERLINK("https://youtu.be/iZgKgfnLIsc","channel 2")</f>
        <v>channel 2</v>
      </c>
    </row>
    <row r="35">
      <c r="B35" s="79" t="s">
        <v>1249</v>
      </c>
      <c r="C35" s="73" t="s">
        <v>265</v>
      </c>
      <c r="D35" s="79" t="s">
        <v>1248</v>
      </c>
      <c r="E35" s="13" t="str">
        <f>HYPERLINK("https://youtu.be/DtI869o9xPg","channel 1")</f>
        <v>channel 1</v>
      </c>
    </row>
    <row r="36">
      <c r="B36" s="79" t="s">
        <v>1193</v>
      </c>
      <c r="C36" s="73" t="s">
        <v>31</v>
      </c>
      <c r="D36" s="79" t="s">
        <v>1250</v>
      </c>
      <c r="E36" s="13" t="str">
        <f>HYPERLINK("https://youtu.be/wa-4WTUWOt8","channel 2")</f>
        <v>channel 2</v>
      </c>
    </row>
    <row r="37">
      <c r="B37" s="79" t="s">
        <v>1248</v>
      </c>
      <c r="C37" s="73" t="s">
        <v>42</v>
      </c>
      <c r="D37" s="79" t="s">
        <v>1251</v>
      </c>
      <c r="E37" s="13" t="str">
        <f>HYPERLINK("https://youtu.be/hFdMF2MJQbY","channel 1")</f>
        <v>channel 1</v>
      </c>
    </row>
    <row r="38">
      <c r="B38" s="79" t="s">
        <v>1249</v>
      </c>
      <c r="C38" s="73" t="s">
        <v>383</v>
      </c>
      <c r="D38" s="79" t="s">
        <v>1250</v>
      </c>
      <c r="E38" s="13" t="str">
        <f>HYPERLINK("https://youtu.be/oTunjfC62LA","channel 2")</f>
        <v>channel 2</v>
      </c>
    </row>
    <row r="39">
      <c r="B39" s="79" t="s">
        <v>1193</v>
      </c>
      <c r="C39" s="73" t="s">
        <v>37</v>
      </c>
      <c r="D39" s="79" t="s">
        <v>1251</v>
      </c>
      <c r="E39" s="13" t="str">
        <f>HYPERLINK("https://youtu.be/N1mAmI23whg","channel 1")</f>
        <v>channel 1</v>
      </c>
    </row>
    <row r="40">
      <c r="B40" s="79" t="s">
        <v>1248</v>
      </c>
      <c r="C40" s="73" t="s">
        <v>1253</v>
      </c>
      <c r="D40" s="79" t="s">
        <v>1250</v>
      </c>
      <c r="E40" s="13" t="str">
        <f>HYPERLINK("https://youtu.be/kL1NQRELgQQ","channel 2")</f>
        <v>channel 2</v>
      </c>
    </row>
    <row r="41">
      <c r="B41" s="79" t="s">
        <v>1249</v>
      </c>
      <c r="C41" s="73" t="s">
        <v>858</v>
      </c>
      <c r="D41" s="79" t="s">
        <v>1251</v>
      </c>
      <c r="E41" s="13" t="str">
        <f>HYPERLINK("https://youtu.be/DMlfx9fvrBI","channel 1")</f>
        <v>channel 1</v>
      </c>
    </row>
    <row r="42">
      <c r="B42" s="79" t="s">
        <v>1248</v>
      </c>
      <c r="C42" s="73" t="s">
        <v>47</v>
      </c>
      <c r="D42" s="79" t="s">
        <v>1193</v>
      </c>
      <c r="E42" s="13" t="str">
        <f>HYPERLINK("https://youtu.be/b14IufTKJ7E","channel 2")</f>
        <v>channel 2</v>
      </c>
    </row>
    <row r="43">
      <c r="B43" s="79" t="s">
        <v>1250</v>
      </c>
      <c r="C43" s="73" t="s">
        <v>553</v>
      </c>
      <c r="D43" s="79" t="s">
        <v>1251</v>
      </c>
      <c r="E43" s="13" t="str">
        <f>HYPERLINK("https://youtu.be/zX6-JkJjPMQ","channel 1")</f>
        <v>channel 1</v>
      </c>
    </row>
    <row r="44">
      <c r="B44" s="79" t="s">
        <v>1249</v>
      </c>
      <c r="C44" s="73" t="s">
        <v>47</v>
      </c>
      <c r="D44" s="79" t="s">
        <v>1193</v>
      </c>
      <c r="E44" s="13" t="str">
        <f>HYPERLINK("https://youtu.be/hwj2-ZFoo7A","channel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2">
    <mergeCell ref="A1:A88"/>
    <mergeCell ref="B23:D23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1254</v>
      </c>
      <c r="C3" s="70" t="s">
        <v>34</v>
      </c>
      <c r="D3" s="71" t="s">
        <v>1255</v>
      </c>
      <c r="E3" s="36" t="str">
        <f>HYPERLINK("https://youtu.be/qMeY-QN-x6s","channel 1")</f>
        <v>channel 1</v>
      </c>
    </row>
    <row r="4">
      <c r="B4" s="72" t="s">
        <v>336</v>
      </c>
      <c r="C4" s="73" t="s">
        <v>44</v>
      </c>
      <c r="D4" s="74" t="s">
        <v>1256</v>
      </c>
      <c r="E4" s="66" t="str">
        <f>HYPERLINK("https://youtu.be/7X8fFOZTgpc","channel 2")</f>
        <v>channel 2</v>
      </c>
    </row>
    <row r="5">
      <c r="B5" s="72" t="s">
        <v>812</v>
      </c>
      <c r="C5" s="73" t="s">
        <v>85</v>
      </c>
      <c r="D5" s="74" t="s">
        <v>1254</v>
      </c>
      <c r="E5" s="36" t="str">
        <f>HYPERLINK("https://youtu.be/mR1HEMGNIiA","channel 1")</f>
        <v>channel 1</v>
      </c>
    </row>
    <row r="6">
      <c r="B6" s="72" t="s">
        <v>336</v>
      </c>
      <c r="C6" s="73" t="s">
        <v>109</v>
      </c>
      <c r="D6" s="74" t="s">
        <v>1255</v>
      </c>
      <c r="E6" s="66" t="str">
        <f>HYPERLINK("https://youtu.be/12ckLEb0HKw","channel 2")</f>
        <v>channel 2</v>
      </c>
    </row>
    <row r="7">
      <c r="B7" s="72" t="s">
        <v>812</v>
      </c>
      <c r="C7" s="73" t="s">
        <v>109</v>
      </c>
      <c r="D7" s="74" t="s">
        <v>1256</v>
      </c>
      <c r="E7" s="36" t="str">
        <f>HYPERLINK("https://youtu.be/lHT2BJBhquI","channel 1")</f>
        <v>channel 1</v>
      </c>
    </row>
    <row r="8">
      <c r="B8" s="72" t="s">
        <v>336</v>
      </c>
      <c r="C8" s="73" t="s">
        <v>145</v>
      </c>
      <c r="D8" s="74" t="s">
        <v>1254</v>
      </c>
      <c r="E8" s="66" t="str">
        <f>HYPERLINK("https://youtu.be/cEKYJ4q0_fk","channel 2")</f>
        <v>channel 2</v>
      </c>
    </row>
    <row r="9">
      <c r="B9" s="72" t="s">
        <v>812</v>
      </c>
      <c r="C9" s="73" t="s">
        <v>179</v>
      </c>
      <c r="D9" s="74" t="s">
        <v>1255</v>
      </c>
      <c r="E9" s="36" t="str">
        <f>HYPERLINK("https://youtu.be/PIh6igH1jJc","channel 1")</f>
        <v>channel 1</v>
      </c>
    </row>
    <row r="10">
      <c r="B10" s="72" t="s">
        <v>1256</v>
      </c>
      <c r="C10" s="73" t="s">
        <v>97</v>
      </c>
      <c r="D10" s="74" t="s">
        <v>1254</v>
      </c>
      <c r="E10" s="66" t="str">
        <f>HYPERLINK("https://youtu.be/sASXj8pGN88","channel 2")</f>
        <v>channel 2</v>
      </c>
    </row>
    <row r="11">
      <c r="B11" s="72" t="s">
        <v>812</v>
      </c>
      <c r="C11" s="73" t="s">
        <v>61</v>
      </c>
      <c r="D11" s="74" t="s">
        <v>336</v>
      </c>
      <c r="E11" s="36" t="str">
        <f>HYPERLINK("https://youtu.be/Yo3KSnp3uT4","channel 1")</f>
        <v>channel 1</v>
      </c>
    </row>
    <row r="12">
      <c r="B12" s="72" t="s">
        <v>1256</v>
      </c>
      <c r="C12" s="73" t="s">
        <v>521</v>
      </c>
      <c r="D12" s="74" t="s">
        <v>1255</v>
      </c>
      <c r="E12" s="66" t="str">
        <f>HYPERLINK("https://youtu.be/f-YqzuBdX1Y","channel 2")</f>
        <v>channel 2</v>
      </c>
    </row>
    <row r="13">
      <c r="B13" s="72" t="s">
        <v>1255</v>
      </c>
      <c r="C13" s="73" t="s">
        <v>34</v>
      </c>
      <c r="D13" s="74" t="s">
        <v>1254</v>
      </c>
      <c r="E13" s="36" t="str">
        <f>HYPERLINK("https://youtu.be/mpa_o9g9Y3g","channel 1")</f>
        <v>channel 1</v>
      </c>
    </row>
    <row r="14">
      <c r="B14" s="72" t="s">
        <v>1256</v>
      </c>
      <c r="C14" s="73" t="s">
        <v>61</v>
      </c>
      <c r="D14" s="74" t="s">
        <v>336</v>
      </c>
      <c r="E14" s="66" t="str">
        <f>HYPERLINK("https://youtu.be/-ox-M_xbM1E","channel 2")</f>
        <v>channel 2</v>
      </c>
    </row>
    <row r="15">
      <c r="B15" s="72" t="s">
        <v>1254</v>
      </c>
      <c r="C15" s="73" t="s">
        <v>106</v>
      </c>
      <c r="D15" s="74" t="s">
        <v>812</v>
      </c>
      <c r="E15" s="36" t="str">
        <f>HYPERLINK("https://youtu.be/FPccqXVlqVo","channel 1")</f>
        <v>channel 1</v>
      </c>
    </row>
    <row r="16">
      <c r="B16" s="72" t="s">
        <v>1255</v>
      </c>
      <c r="C16" s="73" t="s">
        <v>97</v>
      </c>
      <c r="D16" s="74" t="s">
        <v>336</v>
      </c>
      <c r="E16" s="66" t="str">
        <f>HYPERLINK("https://youtu.be/_H-Nq23iYVs","channel 2")</f>
        <v>channel 2</v>
      </c>
    </row>
    <row r="17">
      <c r="B17" s="72" t="s">
        <v>1256</v>
      </c>
      <c r="C17" s="73" t="s">
        <v>108</v>
      </c>
      <c r="D17" s="74" t="s">
        <v>812</v>
      </c>
      <c r="E17" s="36" t="str">
        <f>HYPERLINK("https://youtu.be/vag5p-3Y8n8","channel 1")</f>
        <v>channel 1</v>
      </c>
    </row>
    <row r="18">
      <c r="B18" s="72" t="s">
        <v>1254</v>
      </c>
      <c r="C18" s="73" t="s">
        <v>49</v>
      </c>
      <c r="D18" s="74" t="s">
        <v>336</v>
      </c>
      <c r="E18" s="66" t="str">
        <f>HYPERLINK("https://youtu.be/SpUjMB8f9_o","channel 2")</f>
        <v>channel 2</v>
      </c>
    </row>
    <row r="19">
      <c r="B19" s="72" t="s">
        <v>1255</v>
      </c>
      <c r="C19" s="73" t="s">
        <v>319</v>
      </c>
      <c r="D19" s="74" t="s">
        <v>812</v>
      </c>
      <c r="E19" s="36" t="str">
        <f>HYPERLINK("https://youtu.be/-XHGA42SDQw","channel 1")</f>
        <v>channel 1</v>
      </c>
    </row>
    <row r="20">
      <c r="B20" s="72" t="s">
        <v>1254</v>
      </c>
      <c r="C20" s="73" t="s">
        <v>49</v>
      </c>
      <c r="D20" s="74" t="s">
        <v>1256</v>
      </c>
      <c r="E20" s="66" t="str">
        <f>HYPERLINK("https://youtu.be/HSug0I1f6Sg","channel 2")</f>
        <v>channel 2</v>
      </c>
    </row>
    <row r="21">
      <c r="B21" s="72" t="s">
        <v>336</v>
      </c>
      <c r="C21" s="73" t="s">
        <v>569</v>
      </c>
      <c r="D21" s="74" t="s">
        <v>812</v>
      </c>
      <c r="E21" s="36" t="str">
        <f>HYPERLINK("https://youtu.be/9Z-CK9suaWI","channel 1")</f>
        <v>channel 1</v>
      </c>
    </row>
    <row r="22">
      <c r="B22" s="72" t="s">
        <v>1255</v>
      </c>
      <c r="C22" s="73" t="s">
        <v>108</v>
      </c>
      <c r="D22" s="74" t="s">
        <v>1256</v>
      </c>
      <c r="E22" s="66" t="str">
        <f>HYPERLINK("https://youtu.be/Mzu3cAFuaow","channel 2")</f>
        <v>channel 2</v>
      </c>
    </row>
    <row r="23">
      <c r="B23" s="58" t="s">
        <v>579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1257</v>
      </c>
      <c r="C25" s="70" t="s">
        <v>61</v>
      </c>
      <c r="D25" s="71" t="s">
        <v>1258</v>
      </c>
      <c r="E25" s="36" t="str">
        <f>HYPERLINK("https://youtu.be/4FcSQs5DeEc","channel 1")</f>
        <v>channel 1</v>
      </c>
    </row>
    <row r="26">
      <c r="B26" s="72" t="s">
        <v>1259</v>
      </c>
      <c r="C26" s="73" t="s">
        <v>133</v>
      </c>
      <c r="D26" s="74" t="s">
        <v>1260</v>
      </c>
      <c r="E26" s="66" t="str">
        <f>HYPERLINK("https://youtu.be/Nw0K2vEkUlc","channel 2")</f>
        <v>channel 2</v>
      </c>
    </row>
    <row r="27">
      <c r="B27" s="72" t="s">
        <v>1261</v>
      </c>
      <c r="C27" s="73" t="s">
        <v>144</v>
      </c>
      <c r="D27" s="74" t="s">
        <v>1257</v>
      </c>
      <c r="E27" s="36" t="str">
        <f>HYPERLINK("https://youtu.be/ppep4Bp2q4o","channel 1")</f>
        <v>channel 1</v>
      </c>
    </row>
    <row r="28">
      <c r="B28" s="72" t="s">
        <v>1259</v>
      </c>
      <c r="C28" s="73" t="s">
        <v>343</v>
      </c>
      <c r="D28" s="74" t="s">
        <v>1258</v>
      </c>
      <c r="E28" s="66" t="str">
        <f>HYPERLINK("https://youtu.be/oSbrwXo7_so","channel 2")</f>
        <v>channel 2</v>
      </c>
    </row>
    <row r="29">
      <c r="B29" s="72" t="s">
        <v>1261</v>
      </c>
      <c r="C29" s="73" t="s">
        <v>553</v>
      </c>
      <c r="D29" s="74" t="s">
        <v>1260</v>
      </c>
      <c r="E29" s="36" t="str">
        <f>HYPERLINK("https://youtu.be/cT5RIXAYRII","channel 1")</f>
        <v>channel 1</v>
      </c>
    </row>
    <row r="30">
      <c r="B30" s="72" t="s">
        <v>1259</v>
      </c>
      <c r="C30" s="73" t="s">
        <v>37</v>
      </c>
      <c r="D30" s="74" t="s">
        <v>1257</v>
      </c>
      <c r="E30" s="66" t="str">
        <f>HYPERLINK("https://youtu.be/x10rOjEiw4k","channel 2")</f>
        <v>channel 2</v>
      </c>
    </row>
    <row r="31">
      <c r="B31" s="72" t="s">
        <v>1261</v>
      </c>
      <c r="C31" s="73" t="s">
        <v>522</v>
      </c>
      <c r="D31" s="74" t="s">
        <v>1258</v>
      </c>
      <c r="E31" s="36" t="str">
        <f>HYPERLINK("https://youtu.be/fnVE9hiTluM","channel 1")</f>
        <v>channel 1</v>
      </c>
    </row>
    <row r="32">
      <c r="B32" s="72" t="s">
        <v>1260</v>
      </c>
      <c r="C32" s="73" t="s">
        <v>135</v>
      </c>
      <c r="D32" s="74" t="s">
        <v>1257</v>
      </c>
      <c r="E32" s="66" t="str">
        <f>HYPERLINK("https://youtu.be/mG2evKwM9GU","channel 2")</f>
        <v>channel 2</v>
      </c>
    </row>
    <row r="33">
      <c r="B33" s="72" t="s">
        <v>1261</v>
      </c>
      <c r="C33" s="73" t="s">
        <v>241</v>
      </c>
      <c r="D33" s="74" t="s">
        <v>1259</v>
      </c>
      <c r="E33" s="36" t="str">
        <f>HYPERLINK("https://youtu.be/NoYGCJq_e7M","channel 1")</f>
        <v>channel 1</v>
      </c>
    </row>
    <row r="34">
      <c r="B34" s="72" t="s">
        <v>1260</v>
      </c>
      <c r="C34" s="73" t="s">
        <v>156</v>
      </c>
      <c r="D34" s="74" t="s">
        <v>1258</v>
      </c>
      <c r="E34" s="66" t="str">
        <f>HYPERLINK("https://youtu.be/kix84njIq-U","channel 2")</f>
        <v>channel 2</v>
      </c>
    </row>
    <row r="35">
      <c r="B35" s="72" t="s">
        <v>1258</v>
      </c>
      <c r="C35" s="73" t="s">
        <v>97</v>
      </c>
      <c r="D35" s="74" t="s">
        <v>1257</v>
      </c>
      <c r="E35" s="36" t="str">
        <f>HYPERLINK("https://youtu.be/f_djMRi1i10","channel 1")</f>
        <v>channel 1</v>
      </c>
    </row>
    <row r="36">
      <c r="B36" s="72" t="s">
        <v>1260</v>
      </c>
      <c r="C36" s="73" t="s">
        <v>343</v>
      </c>
      <c r="D36" s="74" t="s">
        <v>1259</v>
      </c>
      <c r="E36" s="66" t="str">
        <f>HYPERLINK("https://youtu.be/3PNsO7PXo38","channel 2")</f>
        <v>channel 2</v>
      </c>
    </row>
    <row r="37">
      <c r="B37" s="72" t="s">
        <v>1257</v>
      </c>
      <c r="C37" s="73" t="s">
        <v>108</v>
      </c>
      <c r="D37" s="74" t="s">
        <v>1261</v>
      </c>
      <c r="E37" s="36" t="str">
        <f>HYPERLINK("https://youtu.be/7eLv1n3pEs8","channel 1")</f>
        <v>channel 1</v>
      </c>
    </row>
    <row r="38">
      <c r="B38" s="72" t="s">
        <v>1258</v>
      </c>
      <c r="C38" s="73" t="s">
        <v>109</v>
      </c>
      <c r="D38" s="74" t="s">
        <v>1259</v>
      </c>
      <c r="E38" s="66" t="str">
        <f>HYPERLINK("https://youtu.be/v3W1oRnpfSk","channel 2")</f>
        <v>channel 2</v>
      </c>
    </row>
    <row r="39">
      <c r="B39" s="72" t="s">
        <v>1260</v>
      </c>
      <c r="C39" s="73" t="s">
        <v>59</v>
      </c>
      <c r="D39" s="74" t="s">
        <v>1261</v>
      </c>
      <c r="E39" s="36" t="str">
        <f>HYPERLINK("https://youtu.be/pp0nMukxhEs","channel 1")</f>
        <v>channel 1</v>
      </c>
    </row>
    <row r="40">
      <c r="B40" s="72" t="s">
        <v>1257</v>
      </c>
      <c r="C40" s="73" t="s">
        <v>99</v>
      </c>
      <c r="D40" s="74" t="s">
        <v>1259</v>
      </c>
      <c r="E40" s="66" t="str">
        <f>HYPERLINK("https://youtu.be/60kWIprmn9s","channel 2")</f>
        <v>channel 2</v>
      </c>
    </row>
    <row r="41">
      <c r="B41" s="72" t="s">
        <v>1258</v>
      </c>
      <c r="C41" s="73" t="s">
        <v>47</v>
      </c>
      <c r="D41" s="74" t="s">
        <v>1261</v>
      </c>
      <c r="E41" s="36" t="str">
        <f>HYPERLINK("https://youtu.be/Z3Gj1jpkxrw","channel 1")</f>
        <v>channel 1</v>
      </c>
    </row>
    <row r="42">
      <c r="B42" s="72" t="s">
        <v>1257</v>
      </c>
      <c r="C42" s="73" t="s">
        <v>257</v>
      </c>
      <c r="D42" s="74" t="s">
        <v>1260</v>
      </c>
      <c r="E42" s="66" t="str">
        <f>HYPERLINK("https://youtu.be/ZDBLQfvTxiI","channel 2")</f>
        <v>channel 2</v>
      </c>
    </row>
    <row r="43">
      <c r="B43" s="72" t="s">
        <v>1259</v>
      </c>
      <c r="C43" s="73" t="s">
        <v>570</v>
      </c>
      <c r="D43" s="74" t="s">
        <v>1261</v>
      </c>
      <c r="E43" s="36" t="str">
        <f>HYPERLINK("https://youtu.be/3VoVKSzWJSs","channel 1")</f>
        <v>channel 1</v>
      </c>
    </row>
    <row r="44">
      <c r="B44" s="72" t="s">
        <v>1258</v>
      </c>
      <c r="C44" s="73" t="s">
        <v>99</v>
      </c>
      <c r="D44" s="74" t="s">
        <v>1260</v>
      </c>
      <c r="E44" s="66" t="str">
        <f>HYPERLINK("https://youtu.be/d22GCDGlaq0","channel 2")</f>
        <v>channel 2</v>
      </c>
    </row>
    <row r="45">
      <c r="B45" s="58" t="s">
        <v>971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1262</v>
      </c>
      <c r="C47" s="70" t="s">
        <v>308</v>
      </c>
      <c r="D47" s="71" t="s">
        <v>96</v>
      </c>
      <c r="E47" s="36" t="str">
        <f>HYPERLINK("https://youtu.be/zTheA3PMGjs","channel 1")</f>
        <v>channel 1</v>
      </c>
    </row>
    <row r="48">
      <c r="B48" s="72" t="s">
        <v>131</v>
      </c>
      <c r="C48" s="73" t="s">
        <v>212</v>
      </c>
      <c r="D48" s="74" t="s">
        <v>81</v>
      </c>
      <c r="E48" s="66" t="str">
        <f>HYPERLINK("https://youtu.be/009lVUfqKCQ","channel 2")</f>
        <v>channel 2</v>
      </c>
    </row>
    <row r="49">
      <c r="B49" s="72" t="s">
        <v>985</v>
      </c>
      <c r="C49" s="73" t="s">
        <v>99</v>
      </c>
      <c r="D49" s="74" t="s">
        <v>1262</v>
      </c>
      <c r="E49" s="36" t="str">
        <f>HYPERLINK("https://youtu.be/Dv2kIZMqg6c","channel 1")</f>
        <v>channel 1</v>
      </c>
    </row>
    <row r="50">
      <c r="B50" s="72" t="s">
        <v>131</v>
      </c>
      <c r="C50" s="73" t="s">
        <v>373</v>
      </c>
      <c r="D50" s="74" t="s">
        <v>96</v>
      </c>
      <c r="E50" s="66" t="str">
        <f>HYPERLINK("https://youtu.be/PfYd_ahM_24","channel 2")</f>
        <v>channel 2</v>
      </c>
    </row>
    <row r="51">
      <c r="B51" s="72" t="s">
        <v>985</v>
      </c>
      <c r="C51" s="73" t="s">
        <v>108</v>
      </c>
      <c r="D51" s="74" t="s">
        <v>81</v>
      </c>
      <c r="E51" s="36" t="str">
        <f>HYPERLINK("https://youtu.be/qRcV7EwxyEs","channel 1")</f>
        <v>channel 1</v>
      </c>
    </row>
    <row r="52">
      <c r="B52" s="72" t="s">
        <v>131</v>
      </c>
      <c r="C52" s="73" t="s">
        <v>498</v>
      </c>
      <c r="D52" s="74" t="s">
        <v>1262</v>
      </c>
      <c r="E52" s="66" t="str">
        <f>HYPERLINK("https://youtu.be/0lVPnRhQlkI","channel 2")</f>
        <v>channel 2</v>
      </c>
    </row>
    <row r="53">
      <c r="B53" s="72" t="s">
        <v>985</v>
      </c>
      <c r="C53" s="73" t="s">
        <v>522</v>
      </c>
      <c r="D53" s="74" t="s">
        <v>96</v>
      </c>
      <c r="E53" s="36" t="str">
        <f>HYPERLINK("https://youtu.be/Wr8bBs6X4tY","channel 1")</f>
        <v>channel 1</v>
      </c>
    </row>
    <row r="54">
      <c r="B54" s="72" t="s">
        <v>81</v>
      </c>
      <c r="C54" s="73" t="s">
        <v>97</v>
      </c>
      <c r="D54" s="74" t="s">
        <v>1262</v>
      </c>
      <c r="E54" s="66" t="str">
        <f>HYPERLINK("https://youtu.be/C2OM3lppO6Q","channel 2")</f>
        <v>channel 2</v>
      </c>
    </row>
    <row r="55">
      <c r="B55" s="72" t="s">
        <v>985</v>
      </c>
      <c r="C55" s="73" t="s">
        <v>304</v>
      </c>
      <c r="D55" s="74" t="s">
        <v>131</v>
      </c>
      <c r="E55" s="36" t="str">
        <f>HYPERLINK("https://youtu.be/b3ZP6aNmXo8","channel 1")</f>
        <v>channel 1</v>
      </c>
    </row>
    <row r="56">
      <c r="B56" s="72" t="s">
        <v>81</v>
      </c>
      <c r="C56" s="73" t="s">
        <v>572</v>
      </c>
      <c r="D56" s="74" t="s">
        <v>96</v>
      </c>
      <c r="E56" s="66" t="str">
        <f>HYPERLINK("https://youtu.be/trx9yYe0c8E","channel 2")</f>
        <v>channel 2</v>
      </c>
    </row>
    <row r="57">
      <c r="B57" s="72" t="s">
        <v>96</v>
      </c>
      <c r="C57" s="73" t="s">
        <v>694</v>
      </c>
      <c r="D57" s="74" t="s">
        <v>1262</v>
      </c>
      <c r="E57" s="36" t="str">
        <f>HYPERLINK("https://youtu.be/Pp3NcmZ2b98","channel 1")</f>
        <v>channel 1</v>
      </c>
    </row>
    <row r="58">
      <c r="B58" s="72" t="s">
        <v>81</v>
      </c>
      <c r="C58" s="73" t="s">
        <v>522</v>
      </c>
      <c r="D58" s="74" t="s">
        <v>131</v>
      </c>
      <c r="E58" s="66" t="str">
        <f>HYPERLINK("https://youtu.be/ePJHDrP8X3I","channel 2")</f>
        <v>channel 2</v>
      </c>
    </row>
    <row r="59">
      <c r="B59" s="72" t="s">
        <v>1262</v>
      </c>
      <c r="C59" s="73" t="s">
        <v>148</v>
      </c>
      <c r="D59" s="74" t="s">
        <v>985</v>
      </c>
      <c r="E59" s="36" t="str">
        <f>HYPERLINK("https://youtu.be/GOlNATJulLw","channel 1")</f>
        <v>channel 1</v>
      </c>
    </row>
    <row r="60">
      <c r="B60" s="72" t="s">
        <v>96</v>
      </c>
      <c r="C60" s="73" t="s">
        <v>148</v>
      </c>
      <c r="D60" s="74" t="s">
        <v>131</v>
      </c>
      <c r="E60" s="66" t="str">
        <f>HYPERLINK("https://youtu.be/xnIzsCGUGeY","channel 2")</f>
        <v>channel 2</v>
      </c>
    </row>
    <row r="61">
      <c r="B61" s="72" t="s">
        <v>81</v>
      </c>
      <c r="C61" s="76" t="s">
        <v>113</v>
      </c>
      <c r="D61" s="74" t="s">
        <v>985</v>
      </c>
      <c r="E61" s="36" t="str">
        <f>HYPERLINK("https://youtu.be/K8tA-adp02o","channel 1")</f>
        <v>channel 1</v>
      </c>
    </row>
    <row r="62">
      <c r="B62" s="72" t="s">
        <v>1262</v>
      </c>
      <c r="C62" s="73" t="s">
        <v>257</v>
      </c>
      <c r="D62" s="74" t="s">
        <v>131</v>
      </c>
      <c r="E62" s="66" t="str">
        <f>HYPERLINK("https://youtu.be/2ZKUXacEWwo","channel 2")</f>
        <v>channel 2</v>
      </c>
    </row>
    <row r="63">
      <c r="B63" s="72" t="s">
        <v>96</v>
      </c>
      <c r="C63" s="73" t="s">
        <v>160</v>
      </c>
      <c r="D63" s="74" t="s">
        <v>985</v>
      </c>
      <c r="E63" s="36" t="str">
        <f>HYPERLINK("https://youtu.be/vemT11ugk9M","channel 1")</f>
        <v>channel 1</v>
      </c>
    </row>
    <row r="64">
      <c r="B64" s="72" t="s">
        <v>1262</v>
      </c>
      <c r="C64" s="73" t="s">
        <v>37</v>
      </c>
      <c r="D64" s="74" t="s">
        <v>81</v>
      </c>
      <c r="E64" s="66" t="str">
        <f>HYPERLINK("https://youtu.be/3hayOTqs264","channel 2")</f>
        <v>channel 2</v>
      </c>
    </row>
    <row r="65">
      <c r="B65" s="72" t="s">
        <v>131</v>
      </c>
      <c r="C65" s="73" t="s">
        <v>152</v>
      </c>
      <c r="D65" s="74" t="s">
        <v>985</v>
      </c>
      <c r="E65" s="36" t="str">
        <f>HYPERLINK("https://youtu.be/J1VA_iUGKhA","channel 1")</f>
        <v>channel 1</v>
      </c>
    </row>
    <row r="66">
      <c r="B66" s="72" t="s">
        <v>96</v>
      </c>
      <c r="C66" s="73" t="s">
        <v>44</v>
      </c>
      <c r="D66" s="74" t="s">
        <v>81</v>
      </c>
      <c r="E66" s="66" t="str">
        <f>HYPERLINK("https://youtu.be/Ls6RD8vOW6E","channel 2")</f>
        <v>channel 2</v>
      </c>
    </row>
    <row r="67">
      <c r="B67" s="58" t="s">
        <v>240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1263</v>
      </c>
      <c r="C69" s="70" t="s">
        <v>138</v>
      </c>
      <c r="D69" s="71" t="s">
        <v>1264</v>
      </c>
      <c r="E69" s="36" t="str">
        <f>HYPERLINK("https://youtu.be/TKWEodvQjNI","channel 1")</f>
        <v>channel 1</v>
      </c>
    </row>
    <row r="70">
      <c r="B70" s="72" t="s">
        <v>1265</v>
      </c>
      <c r="C70" s="73" t="s">
        <v>104</v>
      </c>
      <c r="D70" s="74" t="s">
        <v>1266</v>
      </c>
      <c r="E70" s="66" t="str">
        <f>HYPERLINK("https://youtu.be/E0mfunJrT_0","channel 2")</f>
        <v>channel 2</v>
      </c>
    </row>
    <row r="71">
      <c r="B71" s="72" t="s">
        <v>1267</v>
      </c>
      <c r="C71" s="73" t="s">
        <v>24</v>
      </c>
      <c r="D71" s="74" t="s">
        <v>1263</v>
      </c>
      <c r="E71" s="36" t="str">
        <f>HYPERLINK("https://youtu.be/xStPwgVPb8Q","channel 1")</f>
        <v>channel 1</v>
      </c>
    </row>
    <row r="72">
      <c r="B72" s="72" t="s">
        <v>1265</v>
      </c>
      <c r="C72" s="73" t="s">
        <v>34</v>
      </c>
      <c r="D72" s="74" t="s">
        <v>1264</v>
      </c>
      <c r="E72" s="66" t="str">
        <f>HYPERLINK("https://youtu.be/r7LH-XaGJzU","channel 2")</f>
        <v>channel 2</v>
      </c>
    </row>
    <row r="73">
      <c r="B73" s="72" t="s">
        <v>1267</v>
      </c>
      <c r="C73" s="73" t="s">
        <v>74</v>
      </c>
      <c r="D73" s="74" t="s">
        <v>1266</v>
      </c>
      <c r="E73" s="36" t="str">
        <f>HYPERLINK("https://youtu.be/4JI1gz2hrdM","channel 1")</f>
        <v>channel 1</v>
      </c>
    </row>
    <row r="74">
      <c r="B74" s="72" t="s">
        <v>1265</v>
      </c>
      <c r="C74" s="73" t="s">
        <v>37</v>
      </c>
      <c r="D74" s="74" t="s">
        <v>1263</v>
      </c>
      <c r="E74" s="66" t="str">
        <f>HYPERLINK("https://youtu.be/VT6WRD_R4UM","channel 2")</f>
        <v>channel 2</v>
      </c>
    </row>
    <row r="75">
      <c r="B75" s="72" t="s">
        <v>1267</v>
      </c>
      <c r="C75" s="73" t="s">
        <v>42</v>
      </c>
      <c r="D75" s="74" t="s">
        <v>1264</v>
      </c>
      <c r="E75" s="36" t="str">
        <f>HYPERLINK("https://youtu.be/YcMBjvv5RP4","channel 1")</f>
        <v>channel 1</v>
      </c>
    </row>
    <row r="76">
      <c r="B76" s="72" t="s">
        <v>1266</v>
      </c>
      <c r="C76" s="73" t="s">
        <v>141</v>
      </c>
      <c r="D76" s="74" t="s">
        <v>1263</v>
      </c>
      <c r="E76" s="66" t="str">
        <f>HYPERLINK("https://youtu.be/tmtpMJVsr5s","channel 2")</f>
        <v>channel 2</v>
      </c>
    </row>
    <row r="77">
      <c r="B77" s="72" t="s">
        <v>1267</v>
      </c>
      <c r="C77" s="73" t="s">
        <v>1246</v>
      </c>
      <c r="D77" s="74" t="s">
        <v>1265</v>
      </c>
      <c r="E77" s="36" t="str">
        <f>HYPERLINK("https://youtu.be/Fa3q0S6GArk","channel 1")</f>
        <v>channel 1</v>
      </c>
    </row>
    <row r="78">
      <c r="B78" s="72" t="s">
        <v>1266</v>
      </c>
      <c r="C78" s="73" t="s">
        <v>104</v>
      </c>
      <c r="D78" s="74" t="s">
        <v>1264</v>
      </c>
      <c r="E78" s="66" t="str">
        <f>HYPERLINK("https://youtu.be/cW7ESv2i5To","channel 2")</f>
        <v>channel 2</v>
      </c>
    </row>
    <row r="79">
      <c r="B79" s="72" t="s">
        <v>1264</v>
      </c>
      <c r="C79" s="73" t="s">
        <v>36</v>
      </c>
      <c r="D79" s="74" t="s">
        <v>1263</v>
      </c>
      <c r="E79" s="36" t="str">
        <f>HYPERLINK("https://youtu.be/dzvpl2tnWvM","channel 1")</f>
        <v>channel 1</v>
      </c>
    </row>
    <row r="80">
      <c r="B80" s="72" t="s">
        <v>1266</v>
      </c>
      <c r="C80" s="73" t="s">
        <v>190</v>
      </c>
      <c r="D80" s="74" t="s">
        <v>1265</v>
      </c>
      <c r="E80" s="66" t="str">
        <f>HYPERLINK("https://youtu.be/R4xrcaRHOE0","channel 2")</f>
        <v>channel 2</v>
      </c>
    </row>
    <row r="81">
      <c r="B81" s="72" t="s">
        <v>1263</v>
      </c>
      <c r="C81" s="73" t="s">
        <v>93</v>
      </c>
      <c r="D81" s="74" t="s">
        <v>1267</v>
      </c>
      <c r="E81" s="36" t="str">
        <f>HYPERLINK("https://youtu.be/SPoj5bJJY_E","channel 1")</f>
        <v>channel 1</v>
      </c>
    </row>
    <row r="82">
      <c r="B82" s="72" t="s">
        <v>1264</v>
      </c>
      <c r="C82" s="73" t="s">
        <v>393</v>
      </c>
      <c r="D82" s="74" t="s">
        <v>1265</v>
      </c>
      <c r="E82" s="66" t="str">
        <f>HYPERLINK("https://youtu.be/ODmnYxFi8Lo","channel 2")</f>
        <v>channel 2</v>
      </c>
    </row>
    <row r="83">
      <c r="B83" s="72" t="s">
        <v>1266</v>
      </c>
      <c r="C83" s="73" t="s">
        <v>34</v>
      </c>
      <c r="D83" s="74" t="s">
        <v>1267</v>
      </c>
      <c r="E83" s="36" t="str">
        <f>HYPERLINK("https://youtu.be/olqgpjVxsiE","channel 1")</f>
        <v>channel 1</v>
      </c>
    </row>
    <row r="84">
      <c r="B84" s="72" t="s">
        <v>1263</v>
      </c>
      <c r="C84" s="73" t="s">
        <v>190</v>
      </c>
      <c r="D84" s="74" t="s">
        <v>1265</v>
      </c>
      <c r="E84" s="66" t="str">
        <f>HYPERLINK("https://youtu.be/mcB1zr_J5eU","channel 2")</f>
        <v>channel 2</v>
      </c>
    </row>
    <row r="85">
      <c r="B85" s="72" t="s">
        <v>1264</v>
      </c>
      <c r="C85" s="73" t="s">
        <v>339</v>
      </c>
      <c r="D85" s="74" t="s">
        <v>1267</v>
      </c>
      <c r="E85" s="36" t="str">
        <f>HYPERLINK("https://youtu.be/1CDWIiuLf8s","channel 1")</f>
        <v>channel 1</v>
      </c>
    </row>
    <row r="86">
      <c r="B86" s="72" t="s">
        <v>1263</v>
      </c>
      <c r="C86" s="73" t="s">
        <v>347</v>
      </c>
      <c r="D86" s="74" t="s">
        <v>1266</v>
      </c>
      <c r="E86" s="66" t="str">
        <f>HYPERLINK("https://youtu.be/veFVO74_Hy0","channel 2")</f>
        <v>channel 2</v>
      </c>
    </row>
    <row r="87">
      <c r="B87" s="72" t="s">
        <v>1265</v>
      </c>
      <c r="C87" s="73" t="s">
        <v>423</v>
      </c>
      <c r="D87" s="74" t="s">
        <v>1267</v>
      </c>
      <c r="E87" s="36" t="str">
        <f>HYPERLINK("https://youtu.be/61uhsuCb3o4","channel 1")</f>
        <v>channel 1</v>
      </c>
    </row>
    <row r="88">
      <c r="B88" s="72" t="s">
        <v>1264</v>
      </c>
      <c r="C88" s="73" t="s">
        <v>108</v>
      </c>
      <c r="D88" s="74" t="s">
        <v>1266</v>
      </c>
      <c r="E88" s="66" t="str">
        <f>HYPERLINK("https://youtu.be/dD8lNFyQQnU","channel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</v>
      </c>
      <c r="C3" s="70" t="s">
        <v>99</v>
      </c>
      <c r="D3" s="71" t="s">
        <v>1268</v>
      </c>
      <c r="E3" s="36" t="str">
        <f>HYPERLINK("https://youtu.be/xyjLK89Xf-4","channel 1")</f>
        <v>channel 1</v>
      </c>
    </row>
    <row r="4">
      <c r="B4" s="72" t="s">
        <v>1269</v>
      </c>
      <c r="C4" s="73" t="s">
        <v>145</v>
      </c>
      <c r="D4" s="74" t="s">
        <v>797</v>
      </c>
      <c r="E4" s="66" t="str">
        <f>HYPERLINK("https://youtu.be/n4vyhzLyELE","channel 2")</f>
        <v>channel 2</v>
      </c>
    </row>
    <row r="5">
      <c r="B5" s="72" t="s">
        <v>1070</v>
      </c>
      <c r="C5" s="73" t="s">
        <v>77</v>
      </c>
      <c r="D5" s="74" t="s">
        <v>16</v>
      </c>
      <c r="E5" s="36" t="str">
        <f>HYPERLINK("https://youtu.be/0OvcudTO0yc","channel 1")</f>
        <v>channel 1</v>
      </c>
    </row>
    <row r="6">
      <c r="B6" s="72" t="s">
        <v>1269</v>
      </c>
      <c r="C6" s="73" t="s">
        <v>143</v>
      </c>
      <c r="D6" s="74" t="s">
        <v>1268</v>
      </c>
      <c r="E6" s="66" t="str">
        <f>HYPERLINK("https://youtu.be/970erMVfDAo","channel 2")</f>
        <v>channel 2</v>
      </c>
    </row>
    <row r="7">
      <c r="B7" s="72" t="s">
        <v>1070</v>
      </c>
      <c r="C7" s="73" t="s">
        <v>37</v>
      </c>
      <c r="D7" s="74" t="s">
        <v>797</v>
      </c>
      <c r="E7" s="32" t="str">
        <f>HYPERLINK("https://youtu.be/1tjDzjB5YZ4","channel 1")</f>
        <v>channel 1</v>
      </c>
    </row>
    <row r="8">
      <c r="B8" s="72" t="s">
        <v>1269</v>
      </c>
      <c r="C8" s="73" t="s">
        <v>103</v>
      </c>
      <c r="D8" s="74" t="s">
        <v>16</v>
      </c>
      <c r="E8" s="84" t="str">
        <f>HYPERLINK("https://youtu.be/rKgcEM1aiRU","channel 2")</f>
        <v>channel 2</v>
      </c>
    </row>
    <row r="9">
      <c r="B9" s="72" t="s">
        <v>1070</v>
      </c>
      <c r="C9" s="73" t="s">
        <v>84</v>
      </c>
      <c r="D9" s="74" t="s">
        <v>1268</v>
      </c>
      <c r="E9" s="32" t="str">
        <f>HYPERLINK("https://youtu.be/5bQdc7l18K4","channel 1")</f>
        <v>channel 1</v>
      </c>
    </row>
    <row r="10">
      <c r="B10" s="72" t="s">
        <v>797</v>
      </c>
      <c r="C10" s="73" t="s">
        <v>104</v>
      </c>
      <c r="D10" s="74" t="s">
        <v>16</v>
      </c>
      <c r="E10" s="84" t="str">
        <f>HYPERLINK("https://youtu.be/cWJHauP-wAU","channel 2")</f>
        <v>channel 2</v>
      </c>
    </row>
    <row r="11">
      <c r="B11" s="72" t="s">
        <v>1070</v>
      </c>
      <c r="C11" s="73" t="s">
        <v>555</v>
      </c>
      <c r="D11" s="74" t="s">
        <v>1269</v>
      </c>
      <c r="E11" s="32" t="str">
        <f>HYPERLINK("https://youtu.be/py7dPnKTKTo","channel 1")</f>
        <v>channel 1</v>
      </c>
    </row>
    <row r="12">
      <c r="B12" s="72" t="s">
        <v>797</v>
      </c>
      <c r="C12" s="73" t="s">
        <v>113</v>
      </c>
      <c r="D12" s="74" t="s">
        <v>1268</v>
      </c>
      <c r="E12" s="84" t="str">
        <f>HYPERLINK("https://youtu.be/Kq5zFxmTVkQ","channel 2")</f>
        <v>channel 2</v>
      </c>
    </row>
    <row r="13">
      <c r="B13" s="72" t="s">
        <v>1268</v>
      </c>
      <c r="C13" s="73" t="s">
        <v>211</v>
      </c>
      <c r="D13" s="74" t="s">
        <v>16</v>
      </c>
      <c r="E13" s="32" t="str">
        <f>HYPERLINK("https://youtu.be/9Y32A2fRa2o","channel 1")</f>
        <v>channel 1</v>
      </c>
    </row>
    <row r="14">
      <c r="B14" s="72" t="s">
        <v>797</v>
      </c>
      <c r="C14" s="73" t="s">
        <v>754</v>
      </c>
      <c r="D14" s="74" t="s">
        <v>1269</v>
      </c>
      <c r="E14" s="84" t="str">
        <f>HYPERLINK("https://youtu.be/rpByql7mi1s","channel 2")</f>
        <v>channel 2</v>
      </c>
    </row>
    <row r="15">
      <c r="B15" s="72" t="s">
        <v>16</v>
      </c>
      <c r="C15" s="73" t="s">
        <v>759</v>
      </c>
      <c r="D15" s="74" t="s">
        <v>1070</v>
      </c>
      <c r="E15" s="32" t="str">
        <f>HYPERLINK("https://youtu.be/GZuHKWg7Fd8","channel 1")</f>
        <v>channel 1</v>
      </c>
    </row>
    <row r="16">
      <c r="B16" s="72" t="s">
        <v>1268</v>
      </c>
      <c r="C16" s="73" t="s">
        <v>145</v>
      </c>
      <c r="D16" s="74" t="s">
        <v>1269</v>
      </c>
      <c r="E16" s="84" t="str">
        <f>HYPERLINK("https://youtu.be/29dCuF2a9qY","channel 2")</f>
        <v>channel 2</v>
      </c>
    </row>
    <row r="17">
      <c r="B17" s="72" t="s">
        <v>797</v>
      </c>
      <c r="C17" s="73" t="s">
        <v>30</v>
      </c>
      <c r="D17" s="74" t="s">
        <v>1070</v>
      </c>
      <c r="E17" s="32" t="str">
        <f>HYPERLINK("https://youtu.be/zfxOEOOxF90","channel 1")</f>
        <v>channel 1</v>
      </c>
    </row>
    <row r="18">
      <c r="B18" s="72" t="s">
        <v>16</v>
      </c>
      <c r="C18" s="73" t="s">
        <v>108</v>
      </c>
      <c r="D18" s="74" t="s">
        <v>1269</v>
      </c>
      <c r="E18" s="84" t="str">
        <f>HYPERLINK("https://youtu.be/H3mQ4gVMl8I","channel 2")</f>
        <v>channel 2</v>
      </c>
    </row>
    <row r="19">
      <c r="B19" s="72" t="s">
        <v>1268</v>
      </c>
      <c r="C19" s="73" t="s">
        <v>145</v>
      </c>
      <c r="D19" s="74" t="s">
        <v>1070</v>
      </c>
      <c r="E19" s="32" t="str">
        <f>HYPERLINK("https://youtu.be/CUZdgbB4bbs","channel 1")</f>
        <v>channel 1</v>
      </c>
    </row>
    <row r="20">
      <c r="B20" s="72" t="s">
        <v>16</v>
      </c>
      <c r="C20" s="73" t="s">
        <v>191</v>
      </c>
      <c r="D20" s="74" t="s">
        <v>797</v>
      </c>
      <c r="E20" s="84" t="str">
        <f>HYPERLINK("https://youtu.be/_Ii452JpzU0","channel 2")</f>
        <v>channel 2</v>
      </c>
    </row>
    <row r="21">
      <c r="B21" s="72" t="s">
        <v>1269</v>
      </c>
      <c r="C21" s="73" t="s">
        <v>18</v>
      </c>
      <c r="D21" s="74" t="s">
        <v>1070</v>
      </c>
      <c r="E21" s="32" t="str">
        <f>HYPERLINK("https://youtu.be/Iw-uwAy2QyA","channel 1")</f>
        <v>channel 1</v>
      </c>
    </row>
    <row r="22">
      <c r="B22" s="72" t="s">
        <v>1268</v>
      </c>
      <c r="C22" s="73" t="s">
        <v>47</v>
      </c>
      <c r="D22" s="74" t="s">
        <v>797</v>
      </c>
      <c r="E22" s="84" t="str">
        <f>HYPERLINK("https://youtu.be/8iZZ29GM2ZI","channel 2")</f>
        <v>channel 2</v>
      </c>
    </row>
    <row r="23">
      <c r="B23" s="58" t="s">
        <v>41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1270</v>
      </c>
      <c r="C25" s="70" t="s">
        <v>108</v>
      </c>
      <c r="D25" s="71" t="s">
        <v>534</v>
      </c>
      <c r="E25" s="36" t="str">
        <f>HYPERLINK("https://youtu.be/AOcRHwFJ5RY","channel 1")</f>
        <v>channel 1</v>
      </c>
    </row>
    <row r="26">
      <c r="B26" s="72" t="s">
        <v>1271</v>
      </c>
      <c r="C26" s="73" t="s">
        <v>508</v>
      </c>
      <c r="D26" s="74" t="s">
        <v>1272</v>
      </c>
      <c r="E26" s="66" t="str">
        <f>HYPERLINK("https://youtu.be/oGkyJDFOMYY","channel 2")</f>
        <v>channel 2</v>
      </c>
    </row>
    <row r="27">
      <c r="B27" s="72" t="s">
        <v>1273</v>
      </c>
      <c r="C27" s="73" t="s">
        <v>103</v>
      </c>
      <c r="D27" s="74" t="s">
        <v>1270</v>
      </c>
      <c r="E27" s="36" t="str">
        <f>HYPERLINK("https://youtu.be/2g6eFmoe0DU","channel 1")</f>
        <v>channel 1</v>
      </c>
    </row>
    <row r="28">
      <c r="B28" s="72" t="s">
        <v>1271</v>
      </c>
      <c r="C28" s="73" t="s">
        <v>46</v>
      </c>
      <c r="D28" s="74" t="s">
        <v>534</v>
      </c>
      <c r="E28" s="66" t="str">
        <f>HYPERLINK("https://youtu.be/ZKsVCpYkVtw","channel 2")</f>
        <v>channel 2</v>
      </c>
    </row>
    <row r="29">
      <c r="B29" s="72" t="s">
        <v>1273</v>
      </c>
      <c r="C29" s="73" t="s">
        <v>109</v>
      </c>
      <c r="D29" s="74" t="s">
        <v>1272</v>
      </c>
      <c r="E29" s="32" t="str">
        <f>HYPERLINK("https://youtu.be/pR6lBt_wdu4","channel 1")</f>
        <v>channel 1</v>
      </c>
    </row>
    <row r="30">
      <c r="B30" s="72" t="s">
        <v>1271</v>
      </c>
      <c r="C30" s="73" t="s">
        <v>49</v>
      </c>
      <c r="D30" s="74" t="s">
        <v>1270</v>
      </c>
      <c r="E30" s="84" t="str">
        <f>HYPERLINK("https://youtu.be/VhL6YYaNS-g","channel 2")</f>
        <v>channel 2</v>
      </c>
    </row>
    <row r="31">
      <c r="B31" s="72" t="s">
        <v>1273</v>
      </c>
      <c r="C31" s="73" t="s">
        <v>24</v>
      </c>
      <c r="D31" s="74" t="s">
        <v>534</v>
      </c>
      <c r="E31" s="32" t="str">
        <f>HYPERLINK("https://youtu.be/auHShgmXjuI","channel 1")</f>
        <v>channel 1</v>
      </c>
    </row>
    <row r="32">
      <c r="B32" s="72" t="s">
        <v>1272</v>
      </c>
      <c r="C32" s="73" t="s">
        <v>104</v>
      </c>
      <c r="D32" s="74" t="s">
        <v>1270</v>
      </c>
      <c r="E32" s="84" t="str">
        <f>HYPERLINK("https://youtu.be/V6l-aln60YE","channel 2")</f>
        <v>channel 2</v>
      </c>
    </row>
    <row r="33">
      <c r="B33" s="72" t="s">
        <v>1273</v>
      </c>
      <c r="C33" s="73" t="s">
        <v>89</v>
      </c>
      <c r="D33" s="74" t="s">
        <v>1271</v>
      </c>
      <c r="E33" s="32" t="str">
        <f>HYPERLINK("https://youtu.be/GQrPGHxxCA0","channel 1")</f>
        <v>channel 1</v>
      </c>
    </row>
    <row r="34">
      <c r="B34" s="72" t="s">
        <v>1272</v>
      </c>
      <c r="C34" s="73" t="s">
        <v>572</v>
      </c>
      <c r="D34" s="74" t="s">
        <v>534</v>
      </c>
      <c r="E34" s="84" t="str">
        <f>HYPERLINK("https://youtu.be/gmvWljZ_mTY","channel 2")</f>
        <v>channel 2</v>
      </c>
    </row>
    <row r="35">
      <c r="B35" s="72" t="s">
        <v>534</v>
      </c>
      <c r="C35" s="73" t="s">
        <v>108</v>
      </c>
      <c r="D35" s="74" t="s">
        <v>1270</v>
      </c>
      <c r="E35" s="32" t="str">
        <f>HYPERLINK("https://youtu.be/MTl14QnyU7w","channel 1")</f>
        <v>channel 1</v>
      </c>
    </row>
    <row r="36">
      <c r="B36" s="72" t="s">
        <v>1272</v>
      </c>
      <c r="C36" s="73" t="s">
        <v>750</v>
      </c>
      <c r="D36" s="74" t="s">
        <v>1271</v>
      </c>
      <c r="E36" s="84" t="str">
        <f>HYPERLINK("https://youtu.be/hPfJ9xrNbJE","channel 2")</f>
        <v>channel 2</v>
      </c>
    </row>
    <row r="37">
      <c r="B37" s="72" t="s">
        <v>1270</v>
      </c>
      <c r="C37" s="73" t="s">
        <v>18</v>
      </c>
      <c r="D37" s="74" t="s">
        <v>1273</v>
      </c>
      <c r="E37" s="32" t="str">
        <f>HYPERLINK("https://youtu.be/kgTUBOkpm-s","channel 1")</f>
        <v>channel 1</v>
      </c>
    </row>
    <row r="38">
      <c r="B38" s="72" t="s">
        <v>534</v>
      </c>
      <c r="C38" s="73" t="s">
        <v>145</v>
      </c>
      <c r="D38" s="74" t="s">
        <v>1271</v>
      </c>
      <c r="E38" s="84" t="str">
        <f>HYPERLINK("https://youtu.be/6TQYD88o2J4","channel 2")</f>
        <v>channel 2</v>
      </c>
    </row>
    <row r="39">
      <c r="B39" s="72" t="s">
        <v>1272</v>
      </c>
      <c r="C39" s="73" t="s">
        <v>84</v>
      </c>
      <c r="D39" s="74" t="s">
        <v>1273</v>
      </c>
      <c r="E39" s="32" t="str">
        <f>HYPERLINK("https://youtu.be/wTDqc3r8wq8","channel 1")</f>
        <v>channel 1</v>
      </c>
    </row>
    <row r="40">
      <c r="B40" s="72" t="s">
        <v>1270</v>
      </c>
      <c r="C40" s="73" t="s">
        <v>59</v>
      </c>
      <c r="D40" s="74" t="s">
        <v>1271</v>
      </c>
      <c r="E40" s="84" t="str">
        <f>HYPERLINK("https://youtu.be/hrDCTEVdCfQ","channel 2")</f>
        <v>channel 2</v>
      </c>
    </row>
    <row r="41">
      <c r="B41" s="72" t="s">
        <v>534</v>
      </c>
      <c r="C41" s="73" t="s">
        <v>212</v>
      </c>
      <c r="D41" s="74" t="s">
        <v>1273</v>
      </c>
      <c r="E41" s="32" t="str">
        <f>HYPERLINK("https://youtu.be/knDtV3RG_sw","channel 1")</f>
        <v>channel 1</v>
      </c>
    </row>
    <row r="42">
      <c r="B42" s="72" t="s">
        <v>1270</v>
      </c>
      <c r="C42" s="73" t="s">
        <v>84</v>
      </c>
      <c r="D42" s="74" t="s">
        <v>1272</v>
      </c>
      <c r="E42" s="84" t="str">
        <f>HYPERLINK("https://youtu.be/lWxYPSW5Y40","channel 2")</f>
        <v>channel 2</v>
      </c>
    </row>
    <row r="43">
      <c r="B43" s="72" t="s">
        <v>1271</v>
      </c>
      <c r="C43" s="73" t="s">
        <v>109</v>
      </c>
      <c r="D43" s="74" t="s">
        <v>1273</v>
      </c>
      <c r="E43" s="32" t="str">
        <f>HYPERLINK("https://youtu.be/10fXITNKVt8","channel 1")</f>
        <v>channel 1</v>
      </c>
    </row>
    <row r="44">
      <c r="B44" s="72" t="s">
        <v>534</v>
      </c>
      <c r="C44" s="73" t="s">
        <v>44</v>
      </c>
      <c r="D44" s="74" t="s">
        <v>1272</v>
      </c>
      <c r="E44" s="84" t="str">
        <f>HYPERLINK("https://youtu.be/EsMOa4VvTao","channel 2")</f>
        <v>channel 2</v>
      </c>
    </row>
    <row r="45">
      <c r="B45" s="58" t="s">
        <v>700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1274</v>
      </c>
      <c r="C47" s="70" t="s">
        <v>318</v>
      </c>
      <c r="D47" s="71" t="s">
        <v>1275</v>
      </c>
      <c r="E47" s="36" t="str">
        <f>HYPERLINK("https://youtu.be/PaTpHg2lFn8","channel 1")</f>
        <v>channel 1</v>
      </c>
    </row>
    <row r="48">
      <c r="B48" s="72" t="s">
        <v>123</v>
      </c>
      <c r="C48" s="73" t="s">
        <v>104</v>
      </c>
      <c r="D48" s="74" t="s">
        <v>1066</v>
      </c>
      <c r="E48" s="66" t="str">
        <f>HYPERLINK("https://youtu.be/eNDbAfpI568","channel 2")</f>
        <v>channel 2</v>
      </c>
    </row>
    <row r="49">
      <c r="B49" s="72" t="s">
        <v>711</v>
      </c>
      <c r="C49" s="73" t="s">
        <v>521</v>
      </c>
      <c r="D49" s="74" t="s">
        <v>1274</v>
      </c>
      <c r="E49" s="36" t="str">
        <f>HYPERLINK("https://youtu.be/Ubyw8Slcadk","channel 1")</f>
        <v>channel 1</v>
      </c>
    </row>
    <row r="50">
      <c r="B50" s="72" t="s">
        <v>123</v>
      </c>
      <c r="C50" s="73" t="s">
        <v>141</v>
      </c>
      <c r="D50" s="74" t="s">
        <v>1275</v>
      </c>
      <c r="E50" s="66" t="str">
        <f>HYPERLINK("https://youtu.be/FDpipli9kXw","channel 2")</f>
        <v>channel 2</v>
      </c>
    </row>
    <row r="51">
      <c r="B51" s="72" t="s">
        <v>711</v>
      </c>
      <c r="C51" s="73" t="s">
        <v>20</v>
      </c>
      <c r="D51" s="74" t="s">
        <v>1066</v>
      </c>
      <c r="E51" s="32" t="str">
        <f>HYPERLINK("https://youtu.be/8w84LVC7ObA","channel 1")</f>
        <v>channel 1</v>
      </c>
    </row>
    <row r="52">
      <c r="B52" s="72" t="s">
        <v>123</v>
      </c>
      <c r="C52" s="73" t="s">
        <v>278</v>
      </c>
      <c r="D52" s="74" t="s">
        <v>1274</v>
      </c>
      <c r="E52" s="84" t="str">
        <f>HYPERLINK("https://youtu.be/fQplMZos6bU","channel 2")</f>
        <v>channel 2</v>
      </c>
    </row>
    <row r="53">
      <c r="B53" s="72" t="s">
        <v>711</v>
      </c>
      <c r="C53" s="73" t="s">
        <v>103</v>
      </c>
      <c r="D53" s="74" t="s">
        <v>1275</v>
      </c>
      <c r="E53" s="32" t="str">
        <f>HYPERLINK("https://youtu.be/5cN9QwuC3l0","channel 1")</f>
        <v>channel 1</v>
      </c>
    </row>
    <row r="54">
      <c r="B54" s="72" t="s">
        <v>1066</v>
      </c>
      <c r="C54" s="73" t="s">
        <v>522</v>
      </c>
      <c r="D54" s="74" t="s">
        <v>1274</v>
      </c>
      <c r="E54" s="84" t="str">
        <f>HYPERLINK("https://youtu.be/4wUwUYJBZTw","channel 2")</f>
        <v>channel 2</v>
      </c>
    </row>
    <row r="55">
      <c r="B55" s="72" t="s">
        <v>711</v>
      </c>
      <c r="C55" s="73" t="s">
        <v>113</v>
      </c>
      <c r="D55" s="74" t="s">
        <v>123</v>
      </c>
      <c r="E55" s="32" t="str">
        <f>HYPERLINK("https://youtu.be/ueJ963eN7zI","channel 1")</f>
        <v>channel 1</v>
      </c>
    </row>
    <row r="56">
      <c r="B56" s="72" t="s">
        <v>1066</v>
      </c>
      <c r="C56" s="73" t="s">
        <v>145</v>
      </c>
      <c r="D56" s="74" t="s">
        <v>1275</v>
      </c>
      <c r="E56" s="84" t="str">
        <f>HYPERLINK("https://youtu.be/o_mGojT4bzw","channel 2")</f>
        <v>channel 2</v>
      </c>
    </row>
    <row r="57">
      <c r="B57" s="72" t="s">
        <v>1275</v>
      </c>
      <c r="C57" s="73" t="s">
        <v>84</v>
      </c>
      <c r="D57" s="74" t="s">
        <v>1274</v>
      </c>
      <c r="E57" s="32" t="str">
        <f>HYPERLINK("https://youtu.be/jMZCEXJy-RA","channel 1")</f>
        <v>channel 1</v>
      </c>
    </row>
    <row r="58">
      <c r="B58" s="72" t="s">
        <v>1066</v>
      </c>
      <c r="C58" s="73" t="s">
        <v>216</v>
      </c>
      <c r="D58" s="74" t="s">
        <v>123</v>
      </c>
      <c r="E58" s="84" t="str">
        <f>HYPERLINK("https://youtu.be/R9ytnC8uwT0","channel 2")</f>
        <v>channel 2</v>
      </c>
    </row>
    <row r="59">
      <c r="B59" s="72" t="s">
        <v>1274</v>
      </c>
      <c r="C59" s="73" t="s">
        <v>37</v>
      </c>
      <c r="D59" s="74" t="s">
        <v>711</v>
      </c>
      <c r="E59" s="32" t="str">
        <f>HYPERLINK("https://youtu.be/h2_8dp8XMqs","channel 1")</f>
        <v>channel 1</v>
      </c>
    </row>
    <row r="60">
      <c r="B60" s="72" t="s">
        <v>1275</v>
      </c>
      <c r="C60" s="73" t="s">
        <v>59</v>
      </c>
      <c r="D60" s="74" t="s">
        <v>123</v>
      </c>
      <c r="E60" s="84" t="str">
        <f>HYPERLINK("https://youtu.be/6EZdKHabteU","channel 2")</f>
        <v>channel 2</v>
      </c>
    </row>
    <row r="61">
      <c r="B61" s="72" t="s">
        <v>1066</v>
      </c>
      <c r="C61" s="76" t="s">
        <v>124</v>
      </c>
      <c r="D61" s="74" t="s">
        <v>711</v>
      </c>
      <c r="E61" s="32" t="str">
        <f>HYPERLINK("https://youtu.be/YEi2JHeX2bo","channel 1")</f>
        <v>channel 1</v>
      </c>
    </row>
    <row r="62">
      <c r="B62" s="72" t="s">
        <v>1274</v>
      </c>
      <c r="C62" s="73" t="s">
        <v>495</v>
      </c>
      <c r="D62" s="74" t="s">
        <v>123</v>
      </c>
      <c r="E62" s="84" t="str">
        <f>HYPERLINK("https://youtu.be/OclXpgwTXI4","channel 2")</f>
        <v>channel 2</v>
      </c>
    </row>
    <row r="63">
      <c r="B63" s="72" t="s">
        <v>1275</v>
      </c>
      <c r="C63" s="73" t="s">
        <v>193</v>
      </c>
      <c r="D63" s="74" t="s">
        <v>711</v>
      </c>
      <c r="E63" s="32" t="str">
        <f>HYPERLINK("https://youtu.be/9j8DRsC5KkU","channel 1")</f>
        <v>channel 1</v>
      </c>
    </row>
    <row r="64">
      <c r="B64" s="72" t="s">
        <v>1274</v>
      </c>
      <c r="C64" s="73" t="s">
        <v>319</v>
      </c>
      <c r="D64" s="74" t="s">
        <v>1066</v>
      </c>
      <c r="E64" s="84" t="str">
        <f>HYPERLINK("https://youtu.be/lrjFPHhoJkQ","channel 2")</f>
        <v>channel 2</v>
      </c>
    </row>
    <row r="65">
      <c r="B65" s="72" t="s">
        <v>123</v>
      </c>
      <c r="C65" s="73" t="s">
        <v>109</v>
      </c>
      <c r="D65" s="74" t="s">
        <v>711</v>
      </c>
      <c r="E65" s="32" t="str">
        <f>HYPERLINK("https://youtu.be/0oOqi6wKoC4","channel 1")</f>
        <v>channel 1</v>
      </c>
    </row>
    <row r="66">
      <c r="B66" s="72" t="s">
        <v>1275</v>
      </c>
      <c r="C66" s="73" t="s">
        <v>160</v>
      </c>
      <c r="D66" s="74" t="s">
        <v>1066</v>
      </c>
      <c r="E66" s="84" t="str">
        <f>HYPERLINK("https://youtu.be/DDd0V_gxnzY","channel 2")</f>
        <v>channel 2</v>
      </c>
    </row>
    <row r="67">
      <c r="B67" s="58" t="s">
        <v>1276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1277</v>
      </c>
      <c r="C69" s="70" t="s">
        <v>109</v>
      </c>
      <c r="D69" s="71" t="s">
        <v>445</v>
      </c>
      <c r="E69" s="36" t="str">
        <f>HYPERLINK("https://youtu.be/kCi1FzodwAU","channel 1")</f>
        <v>channel 1</v>
      </c>
    </row>
    <row r="70">
      <c r="B70" s="72" t="s">
        <v>439</v>
      </c>
      <c r="C70" s="73" t="s">
        <v>93</v>
      </c>
      <c r="D70" s="74" t="s">
        <v>784</v>
      </c>
      <c r="E70" s="66" t="str">
        <f>HYPERLINK("https://youtu.be/OTyO3KY5jRM","channel 2")</f>
        <v>channel 2</v>
      </c>
    </row>
    <row r="71">
      <c r="B71" s="72" t="s">
        <v>1278</v>
      </c>
      <c r="C71" s="73" t="s">
        <v>196</v>
      </c>
      <c r="D71" s="74" t="s">
        <v>1277</v>
      </c>
      <c r="E71" s="36" t="str">
        <f>HYPERLINK("https://youtu.be/dk_oIBeD44U","channel 1")</f>
        <v>channel 1</v>
      </c>
    </row>
    <row r="72">
      <c r="B72" s="72" t="s">
        <v>439</v>
      </c>
      <c r="C72" s="73" t="s">
        <v>308</v>
      </c>
      <c r="D72" s="74" t="s">
        <v>445</v>
      </c>
      <c r="E72" s="66" t="str">
        <f>HYPERLINK("https://youtu.be/VwFTdxi3dyc","channel 2")</f>
        <v>channel 2</v>
      </c>
    </row>
    <row r="73">
      <c r="B73" s="72" t="s">
        <v>1278</v>
      </c>
      <c r="C73" s="73" t="s">
        <v>99</v>
      </c>
      <c r="D73" s="74" t="s">
        <v>784</v>
      </c>
      <c r="E73" s="32" t="str">
        <f>HYPERLINK("https://youtu.be/wG3UqzbwVLk","channel 1")</f>
        <v>channel 1</v>
      </c>
    </row>
    <row r="74">
      <c r="B74" s="72" t="s">
        <v>439</v>
      </c>
      <c r="C74" s="73" t="s">
        <v>109</v>
      </c>
      <c r="D74" s="74" t="s">
        <v>1277</v>
      </c>
      <c r="E74" s="84" t="str">
        <f>HYPERLINK("https://youtu.be/O-c1jd3GgtI","channel 2")</f>
        <v>channel 2</v>
      </c>
    </row>
    <row r="75">
      <c r="B75" s="72" t="s">
        <v>1278</v>
      </c>
      <c r="C75" s="73" t="s">
        <v>237</v>
      </c>
      <c r="D75" s="74" t="s">
        <v>445</v>
      </c>
      <c r="E75" s="32" t="str">
        <f>HYPERLINK("https://youtu.be/AJStd4ifAU0","channel 1")</f>
        <v>channel 1</v>
      </c>
    </row>
    <row r="76">
      <c r="B76" s="72" t="s">
        <v>784</v>
      </c>
      <c r="C76" s="73" t="s">
        <v>214</v>
      </c>
      <c r="D76" s="74" t="s">
        <v>1277</v>
      </c>
      <c r="E76" s="84" t="str">
        <f>HYPERLINK("https://youtu.be/EoT3OabRWPQ","channel 2")</f>
        <v>channel 2</v>
      </c>
    </row>
    <row r="77">
      <c r="B77" s="72" t="s">
        <v>1278</v>
      </c>
      <c r="C77" s="73" t="s">
        <v>97</v>
      </c>
      <c r="D77" s="74" t="s">
        <v>439</v>
      </c>
      <c r="E77" s="32" t="str">
        <f>HYPERLINK("https://youtu.be/RAyJIn0H8L0","channel 1")</f>
        <v>channel 1</v>
      </c>
    </row>
    <row r="78">
      <c r="B78" s="72" t="s">
        <v>784</v>
      </c>
      <c r="C78" s="73" t="s">
        <v>88</v>
      </c>
      <c r="D78" s="74" t="s">
        <v>445</v>
      </c>
      <c r="E78" s="84" t="str">
        <f>HYPERLINK("https://youtu.be/34sDWexNs_U","channel 2")</f>
        <v>channel 2</v>
      </c>
    </row>
    <row r="79">
      <c r="B79" s="72" t="s">
        <v>445</v>
      </c>
      <c r="C79" s="73" t="s">
        <v>109</v>
      </c>
      <c r="D79" s="74" t="s">
        <v>1277</v>
      </c>
      <c r="E79" s="32" t="str">
        <f>HYPERLINK("https://youtu.be/FRt04lLQg9I","channel 1")</f>
        <v>channel 1</v>
      </c>
    </row>
    <row r="80">
      <c r="B80" s="72" t="s">
        <v>784</v>
      </c>
      <c r="C80" s="73" t="s">
        <v>124</v>
      </c>
      <c r="D80" s="74" t="s">
        <v>439</v>
      </c>
      <c r="E80" s="84" t="str">
        <f>HYPERLINK("https://youtu.be/ILaJIIPthlA","channel 2")</f>
        <v>channel 2</v>
      </c>
    </row>
    <row r="81">
      <c r="B81" s="72" t="s">
        <v>1277</v>
      </c>
      <c r="C81" s="73" t="s">
        <v>337</v>
      </c>
      <c r="D81" s="74" t="s">
        <v>1278</v>
      </c>
      <c r="E81" s="32" t="str">
        <f>HYPERLINK("https://youtu.be/JfGdFQPtQR4","channel 1")</f>
        <v>channel 1</v>
      </c>
    </row>
    <row r="82">
      <c r="B82" s="72" t="s">
        <v>445</v>
      </c>
      <c r="C82" s="73" t="s">
        <v>724</v>
      </c>
      <c r="D82" s="74" t="s">
        <v>439</v>
      </c>
      <c r="E82" s="84" t="str">
        <f>HYPERLINK("https://youtu.be/pyFPhQ20Py8","channel 2")</f>
        <v>channel 2</v>
      </c>
    </row>
    <row r="83">
      <c r="B83" s="72" t="s">
        <v>784</v>
      </c>
      <c r="C83" s="73" t="s">
        <v>111</v>
      </c>
      <c r="D83" s="74" t="s">
        <v>1278</v>
      </c>
      <c r="E83" s="32" t="str">
        <f>HYPERLINK("https://youtu.be/ZzzbDSlAnW4","channel 1")</f>
        <v>channel 1</v>
      </c>
    </row>
    <row r="84">
      <c r="B84" s="72" t="s">
        <v>1277</v>
      </c>
      <c r="C84" s="73" t="s">
        <v>225</v>
      </c>
      <c r="D84" s="74" t="s">
        <v>439</v>
      </c>
      <c r="E84" s="84" t="str">
        <f>HYPERLINK("https://youtu.be/gXGzXleILeQ","channel 2")</f>
        <v>channel 2</v>
      </c>
    </row>
    <row r="85">
      <c r="B85" s="72" t="s">
        <v>445</v>
      </c>
      <c r="C85" s="73" t="s">
        <v>442</v>
      </c>
      <c r="D85" s="74" t="s">
        <v>1278</v>
      </c>
      <c r="E85" s="32" t="str">
        <f>HYPERLINK("https://youtu.be/JAFbXQlDrlY","channel 1")</f>
        <v>channel 1</v>
      </c>
    </row>
    <row r="86">
      <c r="B86" s="72" t="s">
        <v>1277</v>
      </c>
      <c r="C86" s="73" t="s">
        <v>24</v>
      </c>
      <c r="D86" s="74" t="s">
        <v>784</v>
      </c>
      <c r="E86" s="84" t="str">
        <f>HYPERLINK("https://youtu.be/XA1SQUyRDyY","channel 2")</f>
        <v>channel 2</v>
      </c>
    </row>
    <row r="87">
      <c r="B87" s="72" t="s">
        <v>439</v>
      </c>
      <c r="C87" s="73" t="s">
        <v>37</v>
      </c>
      <c r="D87" s="74" t="s">
        <v>1278</v>
      </c>
      <c r="E87" s="32" t="str">
        <f>HYPERLINK("https://youtu.be/dAusmdagxS4","channel 1")</f>
        <v>channel 1</v>
      </c>
    </row>
    <row r="88">
      <c r="B88" s="72" t="s">
        <v>445</v>
      </c>
      <c r="C88" s="73" t="s">
        <v>148</v>
      </c>
      <c r="D88" s="74" t="s">
        <v>784</v>
      </c>
      <c r="E88" s="84" t="str">
        <f>HYPERLINK("https://youtu.be/NqMoC_w1QTs","channel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1182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1279</v>
      </c>
      <c r="C3" s="70" t="s">
        <v>143</v>
      </c>
      <c r="D3" s="85" t="s">
        <v>1280</v>
      </c>
      <c r="E3" s="36" t="str">
        <f>HYPERLINK("https://youtu.be/O3GJCMZIOiQ","channel 1")</f>
        <v>channel 1</v>
      </c>
    </row>
    <row r="4">
      <c r="B4" s="79" t="s">
        <v>915</v>
      </c>
      <c r="C4" s="73" t="s">
        <v>32</v>
      </c>
      <c r="D4" s="86" t="s">
        <v>1281</v>
      </c>
      <c r="E4" s="66" t="str">
        <f>HYPERLINK("https://youtu.be/SXghyOasdsY","channel 2")</f>
        <v>channel 2</v>
      </c>
    </row>
    <row r="5">
      <c r="B5" s="79" t="s">
        <v>1282</v>
      </c>
      <c r="C5" s="73" t="s">
        <v>145</v>
      </c>
      <c r="D5" s="86" t="s">
        <v>1279</v>
      </c>
      <c r="E5" s="36" t="str">
        <f>HYPERLINK("https://youtu.be/o1vV3BAB9us","channel 1")</f>
        <v>channel 1</v>
      </c>
    </row>
    <row r="6">
      <c r="B6" s="79" t="s">
        <v>915</v>
      </c>
      <c r="C6" s="73" t="s">
        <v>34</v>
      </c>
      <c r="D6" s="86" t="s">
        <v>1280</v>
      </c>
      <c r="E6" s="66" t="str">
        <f>HYPERLINK("https://youtu.be/wFlB4yU-aNY","channel 2")</f>
        <v>channel 2</v>
      </c>
    </row>
    <row r="7">
      <c r="B7" s="79" t="s">
        <v>1282</v>
      </c>
      <c r="C7" s="73" t="s">
        <v>385</v>
      </c>
      <c r="D7" s="86" t="s">
        <v>1281</v>
      </c>
      <c r="E7" s="36" t="str">
        <f>HYPERLINK("https://youtu.be/_iBN4RTjIS8","channel 1")</f>
        <v>channel 1</v>
      </c>
    </row>
    <row r="8">
      <c r="B8" s="79" t="s">
        <v>915</v>
      </c>
      <c r="C8" s="73" t="s">
        <v>124</v>
      </c>
      <c r="D8" s="86" t="s">
        <v>1279</v>
      </c>
      <c r="E8" s="66" t="str">
        <f>HYPERLINK("https://youtu.be/PKoodpQdh_w","channel 2")</f>
        <v>channel 2</v>
      </c>
    </row>
    <row r="9">
      <c r="B9" s="79" t="s">
        <v>1282</v>
      </c>
      <c r="C9" s="73" t="s">
        <v>224</v>
      </c>
      <c r="D9" s="86" t="s">
        <v>1280</v>
      </c>
      <c r="E9" s="36" t="str">
        <f>HYPERLINK("https://youtu.be/AI_-VS0jjlo","channel 1")</f>
        <v>channel 1</v>
      </c>
    </row>
    <row r="10">
      <c r="B10" s="79" t="s">
        <v>1281</v>
      </c>
      <c r="C10" s="73" t="s">
        <v>59</v>
      </c>
      <c r="D10" s="86" t="s">
        <v>1279</v>
      </c>
      <c r="E10" s="66" t="str">
        <f>HYPERLINK("https://youtu.be/9nHnQ9apFKc","channel 2")</f>
        <v>channel 2</v>
      </c>
    </row>
    <row r="11">
      <c r="B11" s="79" t="s">
        <v>1282</v>
      </c>
      <c r="C11" s="73" t="s">
        <v>307</v>
      </c>
      <c r="D11" s="86" t="s">
        <v>915</v>
      </c>
      <c r="E11" s="36" t="str">
        <f>HYPERLINK("https://youtu.be/sOfAcXDmWXA","channel 1")</f>
        <v>channel 1</v>
      </c>
    </row>
    <row r="12">
      <c r="B12" s="79" t="s">
        <v>1281</v>
      </c>
      <c r="C12" s="73" t="s">
        <v>32</v>
      </c>
      <c r="D12" s="86" t="s">
        <v>1280</v>
      </c>
      <c r="E12" s="66" t="str">
        <f>HYPERLINK("https://youtu.be/vUrd6G7BlQo","channel 2")</f>
        <v>channel 2</v>
      </c>
    </row>
    <row r="13">
      <c r="B13" s="79" t="s">
        <v>1280</v>
      </c>
      <c r="C13" s="73" t="s">
        <v>32</v>
      </c>
      <c r="D13" s="86" t="s">
        <v>1279</v>
      </c>
      <c r="E13" s="36" t="str">
        <f>HYPERLINK("https://youtu.be/Idw-l00kfsc","channel 1")</f>
        <v>channel 1</v>
      </c>
    </row>
    <row r="14">
      <c r="B14" s="79" t="s">
        <v>1281</v>
      </c>
      <c r="C14" s="73" t="s">
        <v>37</v>
      </c>
      <c r="D14" s="86" t="s">
        <v>915</v>
      </c>
      <c r="E14" s="66" t="str">
        <f>HYPERLINK("https://youtu.be/bz8xKRNkWEM","channel 2")</f>
        <v>channel 2</v>
      </c>
    </row>
    <row r="15">
      <c r="B15" s="79" t="s">
        <v>1279</v>
      </c>
      <c r="C15" s="73" t="s">
        <v>20</v>
      </c>
      <c r="D15" s="86" t="s">
        <v>1282</v>
      </c>
      <c r="E15" s="36" t="str">
        <f>HYPERLINK("https://youtu.be/QkpF34cyJAs","channel 1")</f>
        <v>channel 1</v>
      </c>
    </row>
    <row r="16">
      <c r="B16" s="79" t="s">
        <v>1280</v>
      </c>
      <c r="C16" s="73" t="s">
        <v>103</v>
      </c>
      <c r="D16" s="86" t="s">
        <v>915</v>
      </c>
      <c r="E16" s="66" t="str">
        <f>HYPERLINK("https://youtu.be/4DurPocWjpQ","channel 2")</f>
        <v>channel 2</v>
      </c>
    </row>
    <row r="17">
      <c r="B17" s="79" t="s">
        <v>1281</v>
      </c>
      <c r="C17" s="73" t="s">
        <v>538</v>
      </c>
      <c r="D17" s="86" t="s">
        <v>1282</v>
      </c>
      <c r="E17" s="36" t="str">
        <f>HYPERLINK("https://youtu.be/jlmLDA5iKMs","channel 1")</f>
        <v>channel 1</v>
      </c>
    </row>
    <row r="18">
      <c r="B18" s="79" t="s">
        <v>1279</v>
      </c>
      <c r="C18" s="73" t="s">
        <v>93</v>
      </c>
      <c r="D18" s="86" t="s">
        <v>915</v>
      </c>
      <c r="E18" s="66" t="str">
        <f>HYPERLINK("https://youtu.be/jlxP2uBp5No","channel 2")</f>
        <v>channel 2</v>
      </c>
    </row>
    <row r="19">
      <c r="B19" s="79" t="s">
        <v>1280</v>
      </c>
      <c r="C19" s="73" t="s">
        <v>110</v>
      </c>
      <c r="D19" s="86" t="s">
        <v>1282</v>
      </c>
      <c r="E19" s="36" t="str">
        <f>HYPERLINK("https://youtu.be/w3yd7jtGV4s","channel 1")</f>
        <v>channel 1</v>
      </c>
    </row>
    <row r="20">
      <c r="B20" s="79" t="s">
        <v>1279</v>
      </c>
      <c r="C20" s="73" t="s">
        <v>322</v>
      </c>
      <c r="D20" s="86" t="s">
        <v>1281</v>
      </c>
      <c r="E20" s="66" t="str">
        <f>HYPERLINK("https://youtu.be/ZRsYx-sQCKM","channel 2")</f>
        <v>channel 2</v>
      </c>
    </row>
    <row r="21">
      <c r="B21" s="79" t="s">
        <v>915</v>
      </c>
      <c r="C21" s="73" t="s">
        <v>1283</v>
      </c>
      <c r="D21" s="86" t="s">
        <v>1282</v>
      </c>
      <c r="E21" s="36" t="str">
        <f>HYPERLINK("https://youtu.be/WJ-MvXmxMGY","channel 1")</f>
        <v>channel 1</v>
      </c>
    </row>
    <row r="22">
      <c r="B22" s="79" t="s">
        <v>1280</v>
      </c>
      <c r="C22" s="73" t="s">
        <v>145</v>
      </c>
      <c r="D22" s="86" t="s">
        <v>1281</v>
      </c>
      <c r="E22" s="66" t="str">
        <f>HYPERLINK("https://youtu.be/6vQPH0ophuE","channel 2")</f>
        <v>channel 2</v>
      </c>
    </row>
    <row r="23">
      <c r="B23" s="58" t="s">
        <v>64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9" t="s">
        <v>1284</v>
      </c>
      <c r="C25" s="73" t="s">
        <v>74</v>
      </c>
      <c r="D25" s="86" t="s">
        <v>998</v>
      </c>
      <c r="E25" s="36" t="str">
        <f>HYPERLINK("https://youtu.be/jjm1Wz7hB1I","channel 1")</f>
        <v>channel 1</v>
      </c>
    </row>
    <row r="26">
      <c r="B26" s="79" t="s">
        <v>1285</v>
      </c>
      <c r="C26" s="73" t="s">
        <v>1159</v>
      </c>
      <c r="D26" s="86" t="s">
        <v>1286</v>
      </c>
      <c r="E26" s="66" t="str">
        <f>HYPERLINK("https://youtu.be/7NMZkRTOhDY","channel 2")</f>
        <v>channel 2</v>
      </c>
    </row>
    <row r="27">
      <c r="B27" s="79" t="s">
        <v>248</v>
      </c>
      <c r="C27" s="73" t="s">
        <v>47</v>
      </c>
      <c r="D27" s="86" t="s">
        <v>1284</v>
      </c>
      <c r="E27" s="36" t="str">
        <f>HYPERLINK("https://youtu.be/1Z1VFKRzD7I","channel 1")</f>
        <v>channel 1</v>
      </c>
    </row>
    <row r="28">
      <c r="B28" s="79" t="s">
        <v>1285</v>
      </c>
      <c r="C28" s="73" t="s">
        <v>97</v>
      </c>
      <c r="D28" s="86" t="s">
        <v>998</v>
      </c>
      <c r="E28" s="66" t="str">
        <f>HYPERLINK("https://youtu.be/OJZksrToz5g","channel 2")</f>
        <v>channel 2</v>
      </c>
    </row>
    <row r="29">
      <c r="B29" s="79" t="s">
        <v>248</v>
      </c>
      <c r="C29" s="73" t="s">
        <v>277</v>
      </c>
      <c r="D29" s="86" t="s">
        <v>1286</v>
      </c>
      <c r="E29" s="36" t="str">
        <f>HYPERLINK("https://youtu.be/YYpTyRIALpM","channel 1")</f>
        <v>channel 1</v>
      </c>
    </row>
    <row r="30">
      <c r="B30" s="79" t="s">
        <v>1285</v>
      </c>
      <c r="C30" s="73" t="s">
        <v>821</v>
      </c>
      <c r="D30" s="86" t="s">
        <v>1284</v>
      </c>
      <c r="E30" s="66" t="str">
        <f>HYPERLINK("https://youtu.be/nynlBDuAQNc","channel 2")</f>
        <v>channel 2</v>
      </c>
    </row>
    <row r="31">
      <c r="B31" s="79" t="s">
        <v>248</v>
      </c>
      <c r="C31" s="12" t="s">
        <v>84</v>
      </c>
      <c r="D31" s="86" t="s">
        <v>998</v>
      </c>
      <c r="E31" s="36" t="str">
        <f>HYPERLINK("https://youtu.be/Q8EqGFaPWrA","channel 1")</f>
        <v>channel 1</v>
      </c>
    </row>
    <row r="32">
      <c r="B32" s="79" t="s">
        <v>1286</v>
      </c>
      <c r="C32" s="87" t="s">
        <v>890</v>
      </c>
      <c r="D32" s="86" t="s">
        <v>1284</v>
      </c>
      <c r="E32" s="66" t="str">
        <f>HYPERLINK("https://youtu.be/JWl-4y6v4oE","channel 2")</f>
        <v>channel 2</v>
      </c>
    </row>
    <row r="33">
      <c r="B33" s="79" t="s">
        <v>248</v>
      </c>
      <c r="C33" s="73" t="s">
        <v>281</v>
      </c>
      <c r="D33" s="86" t="s">
        <v>1285</v>
      </c>
      <c r="E33" s="36" t="str">
        <f>HYPERLINK("https://youtu.be/-yIwoZhVQSQ","channel 1")</f>
        <v>channel 1</v>
      </c>
    </row>
    <row r="34">
      <c r="B34" s="28" t="s">
        <v>1286</v>
      </c>
      <c r="C34" s="12" t="s">
        <v>141</v>
      </c>
      <c r="D34" s="28" t="s">
        <v>998</v>
      </c>
      <c r="E34" s="66" t="str">
        <f>HYPERLINK("https://youtu.be/f_ZZ2D7uDL8","channel 2")</f>
        <v>channel 2</v>
      </c>
    </row>
    <row r="35">
      <c r="B35" s="28" t="s">
        <v>998</v>
      </c>
      <c r="C35" s="12" t="s">
        <v>285</v>
      </c>
      <c r="D35" s="28" t="s">
        <v>1284</v>
      </c>
      <c r="E35" s="36" t="str">
        <f>HYPERLINK("https://youtu.be/XvKdK4wdjj4","channel 1")</f>
        <v>channel 1</v>
      </c>
    </row>
    <row r="36">
      <c r="B36" s="28" t="s">
        <v>1286</v>
      </c>
      <c r="C36" s="12" t="s">
        <v>42</v>
      </c>
      <c r="D36" s="28" t="s">
        <v>1285</v>
      </c>
      <c r="E36" s="66" t="str">
        <f>HYPERLINK("https://youtu.be/k154nE6V1g8","channel 2")</f>
        <v>channel 2</v>
      </c>
    </row>
    <row r="37">
      <c r="B37" s="28" t="s">
        <v>1284</v>
      </c>
      <c r="C37" s="12" t="s">
        <v>337</v>
      </c>
      <c r="D37" s="28" t="s">
        <v>248</v>
      </c>
      <c r="E37" s="36" t="str">
        <f>HYPERLINK("https://youtu.be/P0XAd4b3oBE","channel 1")</f>
        <v>channel 1</v>
      </c>
    </row>
    <row r="38">
      <c r="B38" s="28" t="s">
        <v>998</v>
      </c>
      <c r="C38" s="12" t="s">
        <v>37</v>
      </c>
      <c r="D38" s="28" t="s">
        <v>1285</v>
      </c>
      <c r="E38" s="66" t="str">
        <f>HYPERLINK("https://youtu.be/-RZQuPom1QY","channel 2")</f>
        <v>channel 2</v>
      </c>
    </row>
    <row r="39">
      <c r="B39" s="28" t="s">
        <v>1286</v>
      </c>
      <c r="C39" s="12" t="s">
        <v>34</v>
      </c>
      <c r="D39" s="28" t="s">
        <v>248</v>
      </c>
      <c r="E39" s="36" t="str">
        <f>HYPERLINK("https://youtu.be/HRkihnMXbx0","channel 1")</f>
        <v>channel 1</v>
      </c>
    </row>
    <row r="40">
      <c r="B40" s="28" t="s">
        <v>1284</v>
      </c>
      <c r="C40" s="12" t="s">
        <v>102</v>
      </c>
      <c r="D40" s="28" t="s">
        <v>1285</v>
      </c>
      <c r="E40" s="66" t="str">
        <f>HYPERLINK("https://youtu.be/nRnSrMUALjw","channel 2")</f>
        <v>channel 2</v>
      </c>
    </row>
    <row r="41">
      <c r="B41" s="28" t="s">
        <v>998</v>
      </c>
      <c r="C41" s="12" t="s">
        <v>148</v>
      </c>
      <c r="D41" s="28" t="s">
        <v>248</v>
      </c>
      <c r="E41" s="36" t="str">
        <f>HYPERLINK("https://youtu.be/VK-wR-k0dSU","channel 1")</f>
        <v>channel 1</v>
      </c>
    </row>
    <row r="42">
      <c r="B42" s="28" t="s">
        <v>1284</v>
      </c>
      <c r="C42" s="12" t="s">
        <v>30</v>
      </c>
      <c r="D42" s="28" t="s">
        <v>1286</v>
      </c>
      <c r="E42" s="66" t="str">
        <f>HYPERLINK("https://youtu.be/OWribqnDrt4","channel 2")</f>
        <v>channel 2</v>
      </c>
    </row>
    <row r="43">
      <c r="B43" s="28" t="s">
        <v>1285</v>
      </c>
      <c r="C43" s="12" t="s">
        <v>216</v>
      </c>
      <c r="D43" s="28" t="s">
        <v>248</v>
      </c>
      <c r="E43" s="36" t="str">
        <f>HYPERLINK("https://youtu.be/vq-eQuKC1FY","channel 1")</f>
        <v>channel 1</v>
      </c>
    </row>
    <row r="44">
      <c r="B44" s="28" t="s">
        <v>998</v>
      </c>
      <c r="C44" s="12" t="s">
        <v>322</v>
      </c>
      <c r="D44" s="28" t="s">
        <v>1286</v>
      </c>
      <c r="E44" s="66" t="str">
        <f>HYPERLINK("https://youtu.be/7RZHq1e_37Q","channel 2")</f>
        <v>channel 2</v>
      </c>
    </row>
    <row r="45">
      <c r="B45" s="58" t="s">
        <v>112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28" t="s">
        <v>1287</v>
      </c>
      <c r="C47" s="70" t="s">
        <v>97</v>
      </c>
      <c r="D47" s="85" t="s">
        <v>1288</v>
      </c>
      <c r="E47" s="36" t="str">
        <f>HYPERLINK("https://youtu.be/F_qsK7c09_w","channel 1")</f>
        <v>channel 1</v>
      </c>
    </row>
    <row r="48">
      <c r="B48" s="79" t="s">
        <v>1201</v>
      </c>
      <c r="C48" s="73" t="s">
        <v>373</v>
      </c>
      <c r="D48" s="86" t="s">
        <v>215</v>
      </c>
      <c r="E48" s="66" t="str">
        <f>HYPERLINK("https://youtu.be/n2iRAwZ54EA","channel 2")</f>
        <v>channel 2</v>
      </c>
    </row>
    <row r="49">
      <c r="B49" s="79" t="s">
        <v>1042</v>
      </c>
      <c r="C49" s="73" t="s">
        <v>232</v>
      </c>
      <c r="D49" s="86" t="s">
        <v>1287</v>
      </c>
      <c r="E49" s="36" t="str">
        <f>HYPERLINK("https://youtu.be/3Zzo0G9F2dQ","channel 1")</f>
        <v>channel 1</v>
      </c>
    </row>
    <row r="50">
      <c r="B50" s="79" t="s">
        <v>1201</v>
      </c>
      <c r="C50" s="73" t="s">
        <v>179</v>
      </c>
      <c r="D50" s="86" t="s">
        <v>1288</v>
      </c>
      <c r="E50" s="66" t="str">
        <f>HYPERLINK("https://youtu.be/7J5I95nN5bY","channel 2")</f>
        <v>channel 2</v>
      </c>
    </row>
    <row r="51">
      <c r="B51" s="79" t="s">
        <v>1042</v>
      </c>
      <c r="C51" s="73" t="s">
        <v>57</v>
      </c>
      <c r="D51" s="86" t="s">
        <v>215</v>
      </c>
      <c r="E51" s="36" t="str">
        <f>HYPERLINK("https://youtu.be/U53UHjtEmCM","channel 1")</f>
        <v>channel 1</v>
      </c>
    </row>
    <row r="52">
      <c r="B52" s="79" t="s">
        <v>1201</v>
      </c>
      <c r="C52" s="73" t="s">
        <v>93</v>
      </c>
      <c r="D52" s="86" t="s">
        <v>1287</v>
      </c>
      <c r="E52" s="66" t="str">
        <f>HYPERLINK("https://youtu.be/laZ9saLq79o","channel 2")</f>
        <v>channel 2</v>
      </c>
    </row>
    <row r="53">
      <c r="B53" s="79" t="s">
        <v>1042</v>
      </c>
      <c r="C53" s="73" t="s">
        <v>46</v>
      </c>
      <c r="D53" s="86" t="s">
        <v>1288</v>
      </c>
      <c r="E53" s="36" t="str">
        <f>HYPERLINK("https://youtu.be/DzUiNc424xs","channel 1")</f>
        <v>channel 1</v>
      </c>
    </row>
    <row r="54">
      <c r="B54" s="79" t="s">
        <v>215</v>
      </c>
      <c r="C54" s="73" t="s">
        <v>305</v>
      </c>
      <c r="D54" s="86" t="s">
        <v>1287</v>
      </c>
      <c r="E54" s="66" t="str">
        <f>HYPERLINK("https://youtu.be/lnR1eWgmgkg","channel 2")</f>
        <v>channel 2</v>
      </c>
    </row>
    <row r="55">
      <c r="B55" s="79" t="s">
        <v>1042</v>
      </c>
      <c r="C55" s="73" t="s">
        <v>34</v>
      </c>
      <c r="D55" s="86" t="s">
        <v>1201</v>
      </c>
      <c r="E55" s="36" t="str">
        <f>HYPERLINK("https://youtu.be/UOiLcOQoU8c","channel 1")</f>
        <v>channel 1</v>
      </c>
    </row>
    <row r="56">
      <c r="B56" s="79" t="s">
        <v>215</v>
      </c>
      <c r="C56" s="73" t="s">
        <v>193</v>
      </c>
      <c r="D56" s="86" t="s">
        <v>1288</v>
      </c>
      <c r="E56" s="66" t="str">
        <f>HYPERLINK("https://youtu.be/nuqLXB2vjPc","channel 2")</f>
        <v>channel 2</v>
      </c>
    </row>
    <row r="57">
      <c r="B57" s="79" t="s">
        <v>1288</v>
      </c>
      <c r="C57" s="73" t="s">
        <v>84</v>
      </c>
      <c r="D57" s="86" t="s">
        <v>1287</v>
      </c>
      <c r="E57" s="36" t="str">
        <f>HYPERLINK("https://youtu.be/NgY33HI2apk","channel 1")</f>
        <v>channel 1</v>
      </c>
    </row>
    <row r="58">
      <c r="B58" s="79" t="s">
        <v>215</v>
      </c>
      <c r="C58" s="73" t="s">
        <v>392</v>
      </c>
      <c r="D58" s="86" t="s">
        <v>1201</v>
      </c>
      <c r="E58" s="66" t="str">
        <f>HYPERLINK("https://youtu.be/EOMeDCa1aVc","channel 2")</f>
        <v>channel 2</v>
      </c>
    </row>
    <row r="59">
      <c r="B59" s="79" t="s">
        <v>1287</v>
      </c>
      <c r="C59" s="73" t="s">
        <v>18</v>
      </c>
      <c r="D59" s="86" t="s">
        <v>1042</v>
      </c>
      <c r="E59" s="36" t="str">
        <f>HYPERLINK("https://youtu.be/RBqTUDR3AY8","channel 1")</f>
        <v>channel 1</v>
      </c>
    </row>
    <row r="60">
      <c r="B60" s="79" t="s">
        <v>1288</v>
      </c>
      <c r="C60" s="73" t="s">
        <v>1238</v>
      </c>
      <c r="D60" s="86" t="s">
        <v>1201</v>
      </c>
      <c r="E60" s="66" t="str">
        <f>HYPERLINK("https://youtu.be/SBN_c3LNV0Q","channel 2")</f>
        <v>channel 2</v>
      </c>
    </row>
    <row r="61">
      <c r="B61" s="79" t="s">
        <v>215</v>
      </c>
      <c r="C61" s="73" t="s">
        <v>206</v>
      </c>
      <c r="D61" s="86" t="s">
        <v>1042</v>
      </c>
      <c r="E61" s="36" t="str">
        <f>HYPERLINK("https://youtu.be/0jwjCOaLU9M","channel 1")</f>
        <v>channel 1</v>
      </c>
    </row>
    <row r="62">
      <c r="B62" s="79" t="s">
        <v>1287</v>
      </c>
      <c r="C62" s="73" t="s">
        <v>278</v>
      </c>
      <c r="D62" s="86" t="s">
        <v>1201</v>
      </c>
      <c r="E62" s="66" t="str">
        <f>HYPERLINK("https://youtu.be/hvfKrgGnwFA","channel 2")</f>
        <v>channel 2</v>
      </c>
    </row>
    <row r="63">
      <c r="B63" s="79" t="s">
        <v>1288</v>
      </c>
      <c r="C63" s="73" t="s">
        <v>38</v>
      </c>
      <c r="D63" s="86" t="s">
        <v>1042</v>
      </c>
      <c r="E63" s="36" t="str">
        <f>HYPERLINK("https://youtu.be/VrljpWCuUMU","channel 1")</f>
        <v>channel 1</v>
      </c>
    </row>
    <row r="64">
      <c r="B64" s="79" t="s">
        <v>1287</v>
      </c>
      <c r="C64" s="73" t="s">
        <v>56</v>
      </c>
      <c r="D64" s="86" t="s">
        <v>215</v>
      </c>
      <c r="E64" s="66" t="str">
        <f>HYPERLINK("https://youtu.be/-lr7sThiyto","channel 2")</f>
        <v>channel 2</v>
      </c>
    </row>
    <row r="65">
      <c r="B65" s="79" t="s">
        <v>1201</v>
      </c>
      <c r="C65" s="73" t="s">
        <v>322</v>
      </c>
      <c r="D65" s="86" t="s">
        <v>1042</v>
      </c>
      <c r="E65" s="36" t="str">
        <f>HYPERLINK("https://youtu.be/SRjOadD_Quc","channel 1")</f>
        <v>channel 1</v>
      </c>
    </row>
    <row r="66">
      <c r="B66" s="79" t="s">
        <v>1288</v>
      </c>
      <c r="C66" s="73" t="s">
        <v>38</v>
      </c>
      <c r="D66" s="86" t="s">
        <v>215</v>
      </c>
      <c r="E66" s="66" t="str">
        <f>HYPERLINK("https://youtu.be/v0v57EfhBiQ","channel 2")</f>
        <v>channel 2</v>
      </c>
    </row>
    <row r="67">
      <c r="B67" s="58" t="s">
        <v>386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8" t="s">
        <v>833</v>
      </c>
      <c r="C69" s="70" t="s">
        <v>18</v>
      </c>
      <c r="D69" s="85" t="s">
        <v>351</v>
      </c>
      <c r="E69" s="36" t="str">
        <f>HYPERLINK("https://youtu.be/vQJ5M0GhbY0","channel 1")</f>
        <v>channel 1</v>
      </c>
    </row>
    <row r="70">
      <c r="B70" s="79" t="s">
        <v>1289</v>
      </c>
      <c r="C70" s="73" t="s">
        <v>46</v>
      </c>
      <c r="D70" s="86" t="s">
        <v>711</v>
      </c>
      <c r="E70" s="66" t="str">
        <f>HYPERLINK("https://youtu.be/pNBqsm-QW_0","channel 2")</f>
        <v>channel 2</v>
      </c>
    </row>
    <row r="71">
      <c r="B71" s="79" t="s">
        <v>654</v>
      </c>
      <c r="C71" s="73" t="s">
        <v>110</v>
      </c>
      <c r="D71" s="86" t="s">
        <v>833</v>
      </c>
      <c r="E71" s="36" t="str">
        <f>HYPERLINK("https://youtu.be/uAushH7cqnw","channel 1")</f>
        <v>channel 1</v>
      </c>
    </row>
    <row r="72">
      <c r="B72" s="79" t="s">
        <v>1289</v>
      </c>
      <c r="C72" s="73" t="s">
        <v>281</v>
      </c>
      <c r="D72" s="86" t="s">
        <v>351</v>
      </c>
      <c r="E72" s="66" t="str">
        <f>HYPERLINK("https://youtu.be/u7-gkHxkKu0","channel 2")</f>
        <v>channel 2</v>
      </c>
    </row>
    <row r="73">
      <c r="B73" s="79" t="s">
        <v>654</v>
      </c>
      <c r="C73" s="73" t="s">
        <v>61</v>
      </c>
      <c r="D73" s="86" t="s">
        <v>711</v>
      </c>
      <c r="E73" s="36" t="str">
        <f>HYPERLINK("https://youtu.be/wGYsRrdI83o","channel 1")</f>
        <v>channel 1</v>
      </c>
    </row>
    <row r="74">
      <c r="B74" s="79" t="s">
        <v>1289</v>
      </c>
      <c r="C74" s="73" t="s">
        <v>255</v>
      </c>
      <c r="D74" s="86" t="s">
        <v>833</v>
      </c>
      <c r="E74" s="66" t="str">
        <f>HYPERLINK("https://youtu.be/aT23Eh5mODs","channel 2")</f>
        <v>channel 2</v>
      </c>
    </row>
    <row r="75">
      <c r="B75" s="79" t="s">
        <v>654</v>
      </c>
      <c r="C75" s="73" t="s">
        <v>47</v>
      </c>
      <c r="D75" s="86" t="s">
        <v>351</v>
      </c>
      <c r="E75" s="36" t="str">
        <f>HYPERLINK("https://youtu.be/JorlXwa_xZ0","channel 1")</f>
        <v>channel 1</v>
      </c>
    </row>
    <row r="76">
      <c r="B76" s="79" t="s">
        <v>711</v>
      </c>
      <c r="C76" s="73" t="s">
        <v>11</v>
      </c>
      <c r="D76" s="86" t="s">
        <v>833</v>
      </c>
      <c r="E76" s="66" t="str">
        <f>HYPERLINK("https://youtu.be/YEAkxKyEwpE","channel 2")</f>
        <v>channel 2</v>
      </c>
    </row>
    <row r="77">
      <c r="B77" s="79" t="s">
        <v>654</v>
      </c>
      <c r="C77" s="73" t="s">
        <v>10</v>
      </c>
      <c r="D77" s="86" t="s">
        <v>1289</v>
      </c>
      <c r="E77" s="36" t="str">
        <f>HYPERLINK("https://youtu.be/H4DdlWc5vDA","channel 1")</f>
        <v>channel 1</v>
      </c>
    </row>
    <row r="78">
      <c r="B78" s="79" t="s">
        <v>711</v>
      </c>
      <c r="C78" s="73" t="s">
        <v>759</v>
      </c>
      <c r="D78" s="86" t="s">
        <v>351</v>
      </c>
      <c r="E78" s="66" t="str">
        <f>HYPERLINK("https://youtu.be/bCuDe4JPWiU","channel 2")</f>
        <v>channel 2</v>
      </c>
    </row>
    <row r="79">
      <c r="B79" s="79" t="s">
        <v>351</v>
      </c>
      <c r="C79" s="73" t="s">
        <v>423</v>
      </c>
      <c r="D79" s="86" t="s">
        <v>833</v>
      </c>
      <c r="E79" s="36" t="str">
        <f>HYPERLINK("https://youtu.be/jAbe2K-gdyk","channel 1")</f>
        <v>channel 1</v>
      </c>
    </row>
    <row r="80">
      <c r="B80" s="79" t="s">
        <v>711</v>
      </c>
      <c r="C80" s="73" t="s">
        <v>278</v>
      </c>
      <c r="D80" s="86" t="s">
        <v>1289</v>
      </c>
      <c r="E80" s="66" t="str">
        <f>HYPERLINK("https://youtu.be/XKznd0Jfm7U","channel 2")</f>
        <v>channel 2</v>
      </c>
    </row>
    <row r="81">
      <c r="B81" s="79" t="s">
        <v>833</v>
      </c>
      <c r="C81" s="73" t="s">
        <v>59</v>
      </c>
      <c r="D81" s="86" t="s">
        <v>654</v>
      </c>
      <c r="E81" s="36" t="str">
        <f>HYPERLINK("https://youtu.be/0WZjvjMBERs","channel 1")</f>
        <v>channel 1</v>
      </c>
    </row>
    <row r="82">
      <c r="B82" s="79" t="s">
        <v>351</v>
      </c>
      <c r="C82" s="73" t="s">
        <v>278</v>
      </c>
      <c r="D82" s="86" t="s">
        <v>1289</v>
      </c>
      <c r="E82" s="66" t="str">
        <f>HYPERLINK("https://youtu.be/PanoyWb8vyE","channel 2")</f>
        <v>channel 2</v>
      </c>
    </row>
    <row r="83">
      <c r="B83" s="79" t="s">
        <v>711</v>
      </c>
      <c r="C83" s="73" t="s">
        <v>350</v>
      </c>
      <c r="D83" s="86" t="s">
        <v>654</v>
      </c>
      <c r="E83" s="36" t="str">
        <f>HYPERLINK("https://youtu.be/iXyPwkjNCf8","channel 1")</f>
        <v>channel 1</v>
      </c>
    </row>
    <row r="84">
      <c r="B84" s="79" t="s">
        <v>833</v>
      </c>
      <c r="C84" s="73" t="s">
        <v>141</v>
      </c>
      <c r="D84" s="86" t="s">
        <v>1289</v>
      </c>
      <c r="E84" s="66" t="str">
        <f>HYPERLINK("https://youtu.be/aG3GXddujF0","channel 2")</f>
        <v>channel 2</v>
      </c>
    </row>
    <row r="85">
      <c r="B85" s="79" t="s">
        <v>351</v>
      </c>
      <c r="C85" s="73" t="s">
        <v>108</v>
      </c>
      <c r="D85" s="86" t="s">
        <v>654</v>
      </c>
      <c r="E85" s="36" t="str">
        <f>HYPERLINK("https://youtu.be/FjvLcQ3pTWU","channel 1")</f>
        <v>channel 1</v>
      </c>
    </row>
    <row r="86">
      <c r="B86" s="79" t="s">
        <v>833</v>
      </c>
      <c r="C86" s="73" t="s">
        <v>113</v>
      </c>
      <c r="D86" s="86" t="s">
        <v>711</v>
      </c>
      <c r="E86" s="66" t="str">
        <f>HYPERLINK("https://youtu.be/ooRkr1Y_Ui0","channel 2")</f>
        <v>channel 2</v>
      </c>
    </row>
    <row r="87">
      <c r="B87" s="79" t="s">
        <v>1289</v>
      </c>
      <c r="C87" s="73" t="s">
        <v>10</v>
      </c>
      <c r="D87" s="86" t="s">
        <v>654</v>
      </c>
      <c r="E87" s="36" t="str">
        <f>HYPERLINK("https://youtu.be/a2mqGHogVqg","channel 1")</f>
        <v>channel 1</v>
      </c>
    </row>
    <row r="88">
      <c r="B88" s="79" t="s">
        <v>351</v>
      </c>
      <c r="C88" s="73" t="s">
        <v>56</v>
      </c>
      <c r="D88" s="86" t="s">
        <v>711</v>
      </c>
      <c r="E88" s="66" t="str">
        <f>HYPERLINK("https://youtu.be/um-WJwWjNdU","channel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1290</v>
      </c>
      <c r="C3" s="70" t="s">
        <v>99</v>
      </c>
      <c r="D3" s="71" t="s">
        <v>1291</v>
      </c>
      <c r="E3" s="36" t="str">
        <f>HYPERLINK("https://youtu.be/UdPw3KvI6R0","channel 1")</f>
        <v>channel 1</v>
      </c>
    </row>
    <row r="4">
      <c r="B4" s="72" t="s">
        <v>1292</v>
      </c>
      <c r="C4" s="73" t="s">
        <v>188</v>
      </c>
      <c r="D4" s="74" t="s">
        <v>1293</v>
      </c>
      <c r="E4" s="66" t="str">
        <f>HYPERLINK("https://youtu.be/_h2FZODjSbs","channel 2")</f>
        <v>channel 2</v>
      </c>
    </row>
    <row r="5">
      <c r="B5" s="72" t="s">
        <v>1294</v>
      </c>
      <c r="C5" s="73" t="s">
        <v>113</v>
      </c>
      <c r="D5" s="74" t="s">
        <v>1290</v>
      </c>
      <c r="E5" s="36" t="str">
        <f>HYPERLINK("https://youtu.be/Mz7Xo54s_mc","channel 1")</f>
        <v>channel 1</v>
      </c>
    </row>
    <row r="6">
      <c r="B6" s="72" t="s">
        <v>1292</v>
      </c>
      <c r="C6" s="73" t="s">
        <v>365</v>
      </c>
      <c r="D6" s="74" t="s">
        <v>1291</v>
      </c>
      <c r="E6" s="66" t="str">
        <f>HYPERLINK("https://youtu.be/zw0ybejg81s","channel 2")</f>
        <v>channel 2</v>
      </c>
    </row>
    <row r="7">
      <c r="B7" s="72" t="s">
        <v>1294</v>
      </c>
      <c r="C7" s="73" t="s">
        <v>77</v>
      </c>
      <c r="D7" s="74" t="s">
        <v>1293</v>
      </c>
      <c r="E7" s="36" t="str">
        <f>HYPERLINK("https://youtu.be/JIDPUwhTX5s","channel 1")</f>
        <v>channel 1</v>
      </c>
    </row>
    <row r="8">
      <c r="B8" s="72" t="s">
        <v>1292</v>
      </c>
      <c r="C8" s="73" t="s">
        <v>145</v>
      </c>
      <c r="D8" s="74" t="s">
        <v>1290</v>
      </c>
      <c r="E8" s="66" t="str">
        <f>HYPERLINK("https://youtu.be/b-ufdPmg-Lo","channel 2")</f>
        <v>channel 2</v>
      </c>
    </row>
    <row r="9">
      <c r="B9" s="72" t="s">
        <v>1294</v>
      </c>
      <c r="C9" s="73" t="s">
        <v>307</v>
      </c>
      <c r="D9" s="74" t="s">
        <v>1291</v>
      </c>
      <c r="E9" s="36" t="str">
        <f>HYPERLINK("https://youtu.be/nCgaqkGdk7A","channel 1")</f>
        <v>channel 1</v>
      </c>
    </row>
    <row r="10">
      <c r="B10" s="72" t="s">
        <v>1293</v>
      </c>
      <c r="C10" s="73" t="s">
        <v>145</v>
      </c>
      <c r="D10" s="74" t="s">
        <v>1290</v>
      </c>
      <c r="E10" s="66" t="str">
        <f>HYPERLINK("https://youtu.be/c_qWL1XVi8Q","channel 2")</f>
        <v>channel 2</v>
      </c>
    </row>
    <row r="11">
      <c r="B11" s="72" t="s">
        <v>1294</v>
      </c>
      <c r="C11" s="73" t="s">
        <v>145</v>
      </c>
      <c r="D11" s="74" t="s">
        <v>1292</v>
      </c>
      <c r="E11" s="36" t="str">
        <f>HYPERLINK("https://youtu.be/dxn8W3hxR2Q","channel 1")</f>
        <v>channel 1</v>
      </c>
    </row>
    <row r="12">
      <c r="B12" s="72" t="s">
        <v>1293</v>
      </c>
      <c r="C12" s="73" t="s">
        <v>241</v>
      </c>
      <c r="D12" s="74" t="s">
        <v>1291</v>
      </c>
      <c r="E12" s="66" t="str">
        <f>HYPERLINK("https://youtu.be/7koOnBqflA8","channel 2")</f>
        <v>channel 2</v>
      </c>
    </row>
    <row r="13">
      <c r="B13" s="72" t="s">
        <v>1291</v>
      </c>
      <c r="C13" s="73" t="s">
        <v>31</v>
      </c>
      <c r="D13" s="74" t="s">
        <v>1290</v>
      </c>
      <c r="E13" s="36" t="str">
        <f>HYPERLINK("https://youtu.be/dequJLcggvA","channel 1")</f>
        <v>channel 1</v>
      </c>
    </row>
    <row r="14">
      <c r="B14" s="72" t="s">
        <v>1293</v>
      </c>
      <c r="C14" s="73" t="s">
        <v>61</v>
      </c>
      <c r="D14" s="74" t="s">
        <v>1292</v>
      </c>
      <c r="E14" s="66" t="str">
        <f>HYPERLINK("https://youtu.be/t0tr5Re0QGY","channel 2")</f>
        <v>channel 2</v>
      </c>
    </row>
    <row r="15">
      <c r="B15" s="72" t="s">
        <v>1290</v>
      </c>
      <c r="C15" s="73" t="s">
        <v>10</v>
      </c>
      <c r="D15" s="74" t="s">
        <v>1294</v>
      </c>
      <c r="E15" s="36" t="str">
        <f>HYPERLINK("https://youtu.be/CH-OqzNvV2g","channel 1")</f>
        <v>channel 1</v>
      </c>
    </row>
    <row r="16">
      <c r="B16" s="72" t="s">
        <v>1291</v>
      </c>
      <c r="C16" s="73" t="s">
        <v>1295</v>
      </c>
      <c r="D16" s="74" t="s">
        <v>1292</v>
      </c>
      <c r="E16" s="66" t="str">
        <f>HYPERLINK("https://youtu.be/5PsPcywiqqM","channel 2")</f>
        <v>channel 2</v>
      </c>
    </row>
    <row r="17">
      <c r="B17" s="72" t="s">
        <v>1293</v>
      </c>
      <c r="C17" s="73" t="s">
        <v>74</v>
      </c>
      <c r="D17" s="74" t="s">
        <v>1294</v>
      </c>
      <c r="E17" s="36" t="str">
        <f>HYPERLINK("https://youtu.be/lMUIRG9UYRI","channel 1")</f>
        <v>channel 1</v>
      </c>
    </row>
    <row r="18">
      <c r="B18" s="72" t="s">
        <v>1290</v>
      </c>
      <c r="C18" s="73" t="s">
        <v>109</v>
      </c>
      <c r="D18" s="74" t="s">
        <v>1292</v>
      </c>
      <c r="E18" s="66" t="str">
        <f>HYPERLINK("https://youtu.be/ycOnnriomu4","channel 2")</f>
        <v>channel 2</v>
      </c>
    </row>
    <row r="19">
      <c r="B19" s="72" t="s">
        <v>1291</v>
      </c>
      <c r="C19" s="73" t="s">
        <v>1020</v>
      </c>
      <c r="D19" s="74" t="s">
        <v>1294</v>
      </c>
      <c r="E19" s="36" t="str">
        <f>HYPERLINK("https://youtu.be/nQ1WGpmp8IY","channel 1")</f>
        <v>channel 1</v>
      </c>
    </row>
    <row r="20">
      <c r="B20" s="72" t="s">
        <v>1290</v>
      </c>
      <c r="C20" s="73" t="s">
        <v>108</v>
      </c>
      <c r="D20" s="74" t="s">
        <v>1293</v>
      </c>
      <c r="E20" s="66" t="str">
        <f>HYPERLINK("https://youtu.be/wZakcrXchJM","channel 2")</f>
        <v>channel 2</v>
      </c>
    </row>
    <row r="21">
      <c r="B21" s="72" t="s">
        <v>1292</v>
      </c>
      <c r="C21" s="73" t="s">
        <v>435</v>
      </c>
      <c r="D21" s="74" t="s">
        <v>1294</v>
      </c>
      <c r="E21" s="36" t="str">
        <f>HYPERLINK("https://youtu.be/bsrK2-dSWBg","channel 1")</f>
        <v>channel 1</v>
      </c>
    </row>
    <row r="22">
      <c r="B22" s="72" t="s">
        <v>1291</v>
      </c>
      <c r="C22" s="73" t="s">
        <v>1296</v>
      </c>
      <c r="D22" s="74" t="s">
        <v>1293</v>
      </c>
      <c r="E22" s="66" t="str">
        <f>HYPERLINK("https://youtu.be/jyYTDjeNej4","channel 2")</f>
        <v>channel 2</v>
      </c>
    </row>
    <row r="23">
      <c r="B23" s="58" t="s">
        <v>580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1297</v>
      </c>
      <c r="C25" s="73" t="s">
        <v>372</v>
      </c>
      <c r="D25" s="74" t="s">
        <v>1298</v>
      </c>
      <c r="E25" s="36" t="str">
        <f>HYPERLINK("https://youtu.be/qSI9cAFoYMI","channel 1")</f>
        <v>channel 1</v>
      </c>
    </row>
    <row r="26">
      <c r="B26" s="72" t="s">
        <v>885</v>
      </c>
      <c r="C26" s="73" t="s">
        <v>319</v>
      </c>
      <c r="D26" s="74" t="s">
        <v>1299</v>
      </c>
      <c r="E26" s="66" t="str">
        <f>HYPERLINK("https://youtu.be/TlzvERD-b2s","channel 2")</f>
        <v>channel 2</v>
      </c>
    </row>
    <row r="27">
      <c r="B27" s="72" t="s">
        <v>1300</v>
      </c>
      <c r="C27" s="73" t="s">
        <v>141</v>
      </c>
      <c r="D27" s="74" t="s">
        <v>1297</v>
      </c>
      <c r="E27" s="36" t="str">
        <f>HYPERLINK("https://youtu.be/8y6RJCmiw7s","channel 1")</f>
        <v>channel 1</v>
      </c>
    </row>
    <row r="28">
      <c r="B28" s="72" t="s">
        <v>885</v>
      </c>
      <c r="C28" s="73" t="s">
        <v>99</v>
      </c>
      <c r="D28" s="74" t="s">
        <v>1298</v>
      </c>
      <c r="E28" s="66" t="str">
        <f>HYPERLINK("https://youtu.be/BuB34KfXwmM","channel 2")</f>
        <v>channel 2</v>
      </c>
    </row>
    <row r="29">
      <c r="B29" s="72" t="s">
        <v>1300</v>
      </c>
      <c r="C29" s="73" t="s">
        <v>18</v>
      </c>
      <c r="D29" s="74" t="s">
        <v>1299</v>
      </c>
      <c r="E29" s="36" t="str">
        <f>HYPERLINK("https://youtu.be/F5AeH88KikY","channel 1")</f>
        <v>channel 1</v>
      </c>
    </row>
    <row r="30">
      <c r="B30" s="72" t="s">
        <v>885</v>
      </c>
      <c r="C30" s="73" t="s">
        <v>145</v>
      </c>
      <c r="D30" s="74" t="s">
        <v>1297</v>
      </c>
      <c r="E30" s="66" t="str">
        <f>HYPERLINK("https://youtu.be/ST9sl0lgL1w","channel 2")</f>
        <v>channel 2</v>
      </c>
    </row>
    <row r="31">
      <c r="B31" s="72" t="s">
        <v>1300</v>
      </c>
      <c r="C31" s="73" t="s">
        <v>117</v>
      </c>
      <c r="D31" s="74" t="s">
        <v>1298</v>
      </c>
      <c r="E31" s="36" t="str">
        <f>HYPERLINK("https://youtu.be/-b6ctkE31wE","channel 1")</f>
        <v>channel 1</v>
      </c>
    </row>
    <row r="32">
      <c r="B32" s="72" t="s">
        <v>1299</v>
      </c>
      <c r="C32" s="73" t="s">
        <v>47</v>
      </c>
      <c r="D32" s="74" t="s">
        <v>1297</v>
      </c>
      <c r="E32" s="66" t="str">
        <f>HYPERLINK("https://youtu.be/U5k259oqrxM","channel 2")</f>
        <v>channel 2</v>
      </c>
    </row>
    <row r="33">
      <c r="B33" s="72" t="s">
        <v>1300</v>
      </c>
      <c r="C33" s="73" t="s">
        <v>133</v>
      </c>
      <c r="D33" s="74" t="s">
        <v>885</v>
      </c>
      <c r="E33" s="36" t="str">
        <f>HYPERLINK("https://youtu.be/nJafn86aaTo","channel 1")</f>
        <v>channel 1</v>
      </c>
    </row>
    <row r="34">
      <c r="B34" s="10" t="s">
        <v>1299</v>
      </c>
      <c r="C34" s="12" t="s">
        <v>148</v>
      </c>
      <c r="D34" s="10" t="s">
        <v>1298</v>
      </c>
      <c r="E34" s="66" t="str">
        <f>HYPERLINK("https://youtu.be/upMeUdLtDoY","channel 2")</f>
        <v>channel 2</v>
      </c>
    </row>
    <row r="35">
      <c r="B35" s="10" t="s">
        <v>1298</v>
      </c>
      <c r="C35" s="12" t="s">
        <v>77</v>
      </c>
      <c r="D35" s="10" t="s">
        <v>1297</v>
      </c>
      <c r="E35" s="36" t="str">
        <f>HYPERLINK("https://youtu.be/wM3h3in3vwQ","channel 1")</f>
        <v>channel 1</v>
      </c>
    </row>
    <row r="36">
      <c r="B36" s="10" t="s">
        <v>1299</v>
      </c>
      <c r="C36" s="12" t="s">
        <v>801</v>
      </c>
      <c r="D36" s="10" t="s">
        <v>885</v>
      </c>
      <c r="E36" s="66" t="str">
        <f>HYPERLINK("https://youtu.be/6QvU08M6uJ4","channel 2")</f>
        <v>channel 2</v>
      </c>
    </row>
    <row r="37">
      <c r="B37" s="10" t="s">
        <v>1297</v>
      </c>
      <c r="C37" s="12" t="s">
        <v>97</v>
      </c>
      <c r="D37" s="10" t="s">
        <v>1300</v>
      </c>
      <c r="E37" s="36" t="str">
        <f>HYPERLINK("https://youtu.be/dw86fX0CCTU","channel 1")</f>
        <v>channel 1</v>
      </c>
    </row>
    <row r="38">
      <c r="B38" s="10" t="s">
        <v>1298</v>
      </c>
      <c r="C38" s="12" t="s">
        <v>190</v>
      </c>
      <c r="D38" s="10" t="s">
        <v>885</v>
      </c>
      <c r="E38" s="66" t="str">
        <f>HYPERLINK("https://youtu.be/81rtLDKd2vs","channel 2")</f>
        <v>channel 2</v>
      </c>
    </row>
    <row r="39">
      <c r="B39" s="10" t="s">
        <v>1299</v>
      </c>
      <c r="C39" s="12" t="s">
        <v>157</v>
      </c>
      <c r="D39" s="10" t="s">
        <v>1300</v>
      </c>
      <c r="E39" s="36" t="str">
        <f>HYPERLINK("https://youtu.be/PzJrn_1-TEc","channel 1")</f>
        <v>channel 1</v>
      </c>
    </row>
    <row r="40">
      <c r="B40" s="10" t="s">
        <v>1297</v>
      </c>
      <c r="C40" s="12" t="s">
        <v>364</v>
      </c>
      <c r="D40" s="10" t="s">
        <v>885</v>
      </c>
      <c r="E40" s="66" t="str">
        <f>HYPERLINK("https://youtu.be/JZKCl9buzz4","channel 2")</f>
        <v>channel 2</v>
      </c>
    </row>
    <row r="41">
      <c r="B41" s="10" t="s">
        <v>1298</v>
      </c>
      <c r="C41" s="12" t="s">
        <v>484</v>
      </c>
      <c r="D41" s="10" t="s">
        <v>1300</v>
      </c>
      <c r="E41" s="36" t="str">
        <f>HYPERLINK("https://youtu.be/wbeBfTS9OnE","channel 1")</f>
        <v>channel 1</v>
      </c>
    </row>
    <row r="42">
      <c r="B42" s="10" t="s">
        <v>1297</v>
      </c>
      <c r="C42" s="12" t="s">
        <v>277</v>
      </c>
      <c r="D42" s="10" t="s">
        <v>1299</v>
      </c>
      <c r="E42" s="66" t="str">
        <f>HYPERLINK("https://youtu.be/PHavoextveo","channel 2")</f>
        <v>channel 2</v>
      </c>
    </row>
    <row r="43">
      <c r="B43" s="10" t="s">
        <v>885</v>
      </c>
      <c r="C43" s="12" t="s">
        <v>56</v>
      </c>
      <c r="D43" s="10" t="s">
        <v>1300</v>
      </c>
      <c r="E43" s="36" t="str">
        <f>HYPERLINK("https://youtu.be/mlnyJ5kiFlw","channel 1")</f>
        <v>channel 1</v>
      </c>
    </row>
    <row r="44">
      <c r="B44" s="10" t="s">
        <v>1298</v>
      </c>
      <c r="C44" s="12" t="s">
        <v>353</v>
      </c>
      <c r="D44" s="10" t="s">
        <v>1299</v>
      </c>
      <c r="E44" s="66" t="str">
        <f>HYPERLINK("https://youtu.be/kW7SFXGYKRE","channel 2")</f>
        <v>channel 2</v>
      </c>
    </row>
    <row r="45">
      <c r="B45" s="58" t="s">
        <v>597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1301</v>
      </c>
      <c r="C47" s="70" t="s">
        <v>108</v>
      </c>
      <c r="D47" s="85" t="s">
        <v>1302</v>
      </c>
      <c r="E47" s="36" t="str">
        <f>HYPERLINK("https://youtu.be/GIy2QHUDonU","channel 1")</f>
        <v>channel 1</v>
      </c>
    </row>
    <row r="48">
      <c r="B48" s="72" t="s">
        <v>1103</v>
      </c>
      <c r="C48" s="73" t="s">
        <v>30</v>
      </c>
      <c r="D48" s="74" t="s">
        <v>1303</v>
      </c>
      <c r="E48" s="66" t="str">
        <f>HYPERLINK("https://youtu.be/2gkwo9YkJaA","channel 2")</f>
        <v>channel 2</v>
      </c>
    </row>
    <row r="49">
      <c r="B49" s="72" t="s">
        <v>1116</v>
      </c>
      <c r="C49" s="73" t="s">
        <v>104</v>
      </c>
      <c r="D49" s="74" t="s">
        <v>1301</v>
      </c>
      <c r="E49" s="36" t="str">
        <f>HYPERLINK("https://youtu.be/9VDTG27H7Tc","channel 1")</f>
        <v>channel 1</v>
      </c>
    </row>
    <row r="50">
      <c r="B50" s="72" t="s">
        <v>1103</v>
      </c>
      <c r="C50" s="73" t="s">
        <v>974</v>
      </c>
      <c r="D50" s="86" t="s">
        <v>1302</v>
      </c>
      <c r="E50" s="66" t="str">
        <f>HYPERLINK("https://youtu.be/aRX1hR29qmQ","channel 2")</f>
        <v>channel 2</v>
      </c>
      <c r="J50" s="44" t="s">
        <v>1304</v>
      </c>
    </row>
    <row r="51">
      <c r="B51" s="72" t="s">
        <v>1116</v>
      </c>
      <c r="C51" s="73" t="s">
        <v>226</v>
      </c>
      <c r="D51" s="74" t="s">
        <v>1303</v>
      </c>
      <c r="E51" s="36" t="str">
        <f>HYPERLINK("https://youtu.be/t-j3UNajO_o","channel 1")</f>
        <v>channel 1</v>
      </c>
    </row>
    <row r="52">
      <c r="B52" s="72" t="s">
        <v>1103</v>
      </c>
      <c r="C52" s="73" t="s">
        <v>204</v>
      </c>
      <c r="D52" s="74" t="s">
        <v>1301</v>
      </c>
      <c r="E52" s="66" t="str">
        <f>HYPERLINK("https://youtu.be/6t08yNANVho","channel 2")</f>
        <v>channel 2</v>
      </c>
    </row>
    <row r="53">
      <c r="B53" s="72" t="s">
        <v>1116</v>
      </c>
      <c r="C53" s="73" t="s">
        <v>1305</v>
      </c>
      <c r="D53" s="86" t="s">
        <v>1302</v>
      </c>
      <c r="E53" s="36" t="str">
        <f>HYPERLINK("https://youtu.be/Y1OtUcP8Oys","channel 1")</f>
        <v>channel 1</v>
      </c>
    </row>
    <row r="54">
      <c r="B54" s="72" t="s">
        <v>1303</v>
      </c>
      <c r="C54" s="73" t="s">
        <v>84</v>
      </c>
      <c r="D54" s="74" t="s">
        <v>1301</v>
      </c>
      <c r="E54" s="66" t="str">
        <f>HYPERLINK("https://youtu.be/f5RMpZWUq4I","channel 2")</f>
        <v>channel 2</v>
      </c>
    </row>
    <row r="55">
      <c r="B55" s="72" t="s">
        <v>1116</v>
      </c>
      <c r="C55" s="73" t="s">
        <v>108</v>
      </c>
      <c r="D55" s="74" t="s">
        <v>1103</v>
      </c>
      <c r="E55" s="36" t="str">
        <f>HYPERLINK("https://youtu.be/9bIB-tr2lOY","channel 1")</f>
        <v>channel 1</v>
      </c>
    </row>
    <row r="56">
      <c r="B56" s="72" t="s">
        <v>1303</v>
      </c>
      <c r="C56" s="73" t="s">
        <v>309</v>
      </c>
      <c r="D56" s="86" t="s">
        <v>1302</v>
      </c>
      <c r="E56" s="66" t="str">
        <f>HYPERLINK("https://youtu.be/VrBaqPaGH5A","channel 2")</f>
        <v>channel 2</v>
      </c>
    </row>
    <row r="57">
      <c r="B57" s="79" t="s">
        <v>1302</v>
      </c>
      <c r="C57" s="73" t="s">
        <v>42</v>
      </c>
      <c r="D57" s="74" t="s">
        <v>1301</v>
      </c>
      <c r="E57" s="36" t="str">
        <f>HYPERLINK("https://youtu.be/eqEVvsgHwuc","channel 1")</f>
        <v>channel 1</v>
      </c>
    </row>
    <row r="58">
      <c r="B58" s="72" t="s">
        <v>1303</v>
      </c>
      <c r="C58" s="73" t="s">
        <v>84</v>
      </c>
      <c r="D58" s="74" t="s">
        <v>1103</v>
      </c>
      <c r="E58" s="66" t="str">
        <f>HYPERLINK("https://youtu.be/6VruoxHUR_Y","channel 2")</f>
        <v>channel 2</v>
      </c>
    </row>
    <row r="59">
      <c r="B59" s="72" t="s">
        <v>1301</v>
      </c>
      <c r="C59" s="73" t="s">
        <v>31</v>
      </c>
      <c r="D59" s="74" t="s">
        <v>1116</v>
      </c>
      <c r="E59" s="36" t="str">
        <f>HYPERLINK("https://youtu.be/trBGsyKJXAE","channel 1")</f>
        <v>channel 1</v>
      </c>
    </row>
    <row r="60">
      <c r="B60" s="79" t="s">
        <v>1302</v>
      </c>
      <c r="C60" s="73" t="s">
        <v>309</v>
      </c>
      <c r="D60" s="74" t="s">
        <v>1103</v>
      </c>
      <c r="E60" s="66" t="str">
        <f>HYPERLINK("https://youtu.be/HlKBtwJV_LA","channel 2")</f>
        <v>channel 2</v>
      </c>
    </row>
    <row r="61">
      <c r="B61" s="72" t="s">
        <v>1303</v>
      </c>
      <c r="C61" s="73" t="s">
        <v>385</v>
      </c>
      <c r="D61" s="74" t="s">
        <v>1116</v>
      </c>
      <c r="E61" s="36" t="str">
        <f>HYPERLINK("https://youtu.be/Viq6IL1uQSk","channel 1")</f>
        <v>channel 1</v>
      </c>
    </row>
    <row r="62">
      <c r="B62" s="72" t="s">
        <v>1301</v>
      </c>
      <c r="C62" s="73" t="s">
        <v>99</v>
      </c>
      <c r="D62" s="74" t="s">
        <v>1103</v>
      </c>
      <c r="E62" s="66" t="str">
        <f>HYPERLINK("https://youtu.be/4g40e4ssKDo","channel 2")</f>
        <v>channel 2</v>
      </c>
    </row>
    <row r="63">
      <c r="B63" s="79" t="s">
        <v>1302</v>
      </c>
      <c r="C63" s="73" t="s">
        <v>506</v>
      </c>
      <c r="D63" s="74" t="s">
        <v>1116</v>
      </c>
      <c r="E63" s="36" t="str">
        <f>HYPERLINK("https://youtu.be/3I63wQPWRBs","channel 1")</f>
        <v>channel 1</v>
      </c>
    </row>
    <row r="64">
      <c r="B64" s="72" t="s">
        <v>1301</v>
      </c>
      <c r="C64" s="73" t="s">
        <v>495</v>
      </c>
      <c r="D64" s="74" t="s">
        <v>1303</v>
      </c>
      <c r="E64" s="66" t="str">
        <f>HYPERLINK("https://youtu.be/yzFjRyswZN4","channel 2")</f>
        <v>channel 2</v>
      </c>
    </row>
    <row r="65">
      <c r="B65" s="72" t="s">
        <v>1103</v>
      </c>
      <c r="C65" s="73" t="s">
        <v>190</v>
      </c>
      <c r="D65" s="74" t="s">
        <v>1116</v>
      </c>
      <c r="E65" s="36" t="str">
        <f>HYPERLINK("https://youtu.be/h627r9Rpi1g","channel 1")</f>
        <v>channel 1</v>
      </c>
    </row>
    <row r="66">
      <c r="B66" s="79" t="s">
        <v>1302</v>
      </c>
      <c r="C66" s="73" t="s">
        <v>49</v>
      </c>
      <c r="D66" s="74" t="s">
        <v>1303</v>
      </c>
      <c r="E66" s="66" t="str">
        <f>HYPERLINK("https://youtu.be/357_PopAXcY","channel 2")</f>
        <v>channel 2</v>
      </c>
    </row>
    <row r="67">
      <c r="B67" s="58" t="s">
        <v>1150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1306</v>
      </c>
      <c r="C69" s="70" t="s">
        <v>97</v>
      </c>
      <c r="D69" s="85" t="s">
        <v>1307</v>
      </c>
      <c r="E69" s="36" t="str">
        <f>HYPERLINK("https://youtu.be/q9v3417GcAI","channel 1")</f>
        <v>channel 1</v>
      </c>
    </row>
    <row r="70">
      <c r="B70" s="72" t="s">
        <v>473</v>
      </c>
      <c r="C70" s="73" t="s">
        <v>724</v>
      </c>
      <c r="D70" s="74" t="s">
        <v>988</v>
      </c>
      <c r="E70" s="66" t="str">
        <f>HYPERLINK("https://youtu.be/4U9ERdeoY_s","channel 2")</f>
        <v>channel 2</v>
      </c>
    </row>
    <row r="71">
      <c r="B71" s="72" t="s">
        <v>1308</v>
      </c>
      <c r="C71" s="73" t="s">
        <v>310</v>
      </c>
      <c r="D71" s="74" t="s">
        <v>1306</v>
      </c>
      <c r="E71" s="36" t="str">
        <f>HYPERLINK("https://youtu.be/Nxa--2UyJM4","channel 1")</f>
        <v>channel 1</v>
      </c>
    </row>
    <row r="72">
      <c r="B72" s="72" t="s">
        <v>473</v>
      </c>
      <c r="C72" s="73" t="s">
        <v>212</v>
      </c>
      <c r="D72" s="86" t="s">
        <v>1307</v>
      </c>
      <c r="E72" s="66" t="str">
        <f>HYPERLINK("https://youtu.be/9uijBZT8y6M","channel 2")</f>
        <v>channel 2</v>
      </c>
    </row>
    <row r="73">
      <c r="B73" s="72" t="s">
        <v>1308</v>
      </c>
      <c r="C73" s="73" t="s">
        <v>493</v>
      </c>
      <c r="D73" s="74" t="s">
        <v>988</v>
      </c>
      <c r="E73" s="36" t="str">
        <f>HYPERLINK("https://youtu.be/9nB7bGZMCbM","channel 1")</f>
        <v>channel 1</v>
      </c>
    </row>
    <row r="74">
      <c r="B74" s="72" t="s">
        <v>473</v>
      </c>
      <c r="C74" s="73" t="s">
        <v>90</v>
      </c>
      <c r="D74" s="74" t="s">
        <v>1306</v>
      </c>
      <c r="E74" s="66" t="str">
        <f>HYPERLINK("https://youtu.be/52IzYSsKVz8","channel 2")</f>
        <v>channel 2</v>
      </c>
    </row>
    <row r="75">
      <c r="B75" s="72" t="s">
        <v>1308</v>
      </c>
      <c r="C75" s="73" t="s">
        <v>107</v>
      </c>
      <c r="D75" s="86" t="s">
        <v>1307</v>
      </c>
      <c r="E75" s="36" t="str">
        <f>HYPERLINK("https://youtu.be/yhsh8_Fcs2E","channel 1")</f>
        <v>channel 1</v>
      </c>
    </row>
    <row r="76">
      <c r="B76" s="72" t="s">
        <v>988</v>
      </c>
      <c r="C76" s="73" t="s">
        <v>84</v>
      </c>
      <c r="D76" s="74" t="s">
        <v>1306</v>
      </c>
      <c r="E76" s="66" t="str">
        <f>HYPERLINK("https://youtu.be/9S6BXzLtzMo","channel 2")</f>
        <v>channel 2</v>
      </c>
    </row>
    <row r="77">
      <c r="B77" s="72" t="s">
        <v>1308</v>
      </c>
      <c r="C77" s="73" t="s">
        <v>887</v>
      </c>
      <c r="D77" s="74" t="s">
        <v>473</v>
      </c>
      <c r="E77" s="36" t="str">
        <f>HYPERLINK("https://youtu.be/ozMSGQ_6EVc","channel 1")</f>
        <v>channel 1</v>
      </c>
    </row>
    <row r="78">
      <c r="B78" s="72" t="s">
        <v>988</v>
      </c>
      <c r="C78" s="73" t="s">
        <v>59</v>
      </c>
      <c r="D78" s="86" t="s">
        <v>1307</v>
      </c>
      <c r="E78" s="66" t="str">
        <f>HYPERLINK("https://youtu.be/XQYVmUQrhLU","channel 2")</f>
        <v>channel 2</v>
      </c>
    </row>
    <row r="79">
      <c r="B79" s="79" t="s">
        <v>1307</v>
      </c>
      <c r="C79" s="73" t="s">
        <v>375</v>
      </c>
      <c r="D79" s="74" t="s">
        <v>1306</v>
      </c>
      <c r="E79" s="36" t="str">
        <f>HYPERLINK("https://youtu.be/dZNkUd4vJak","channel 1")</f>
        <v>channel 1</v>
      </c>
    </row>
    <row r="80">
      <c r="B80" s="72" t="s">
        <v>988</v>
      </c>
      <c r="C80" s="73" t="s">
        <v>124</v>
      </c>
      <c r="D80" s="74" t="s">
        <v>473</v>
      </c>
      <c r="E80" s="66" t="str">
        <f>HYPERLINK("https://youtu.be/JOe_oKur0EU","channel 2")</f>
        <v>channel 2</v>
      </c>
    </row>
    <row r="81">
      <c r="B81" s="72" t="s">
        <v>1306</v>
      </c>
      <c r="C81" s="73" t="s">
        <v>213</v>
      </c>
      <c r="D81" s="74" t="s">
        <v>1308</v>
      </c>
      <c r="E81" s="36" t="str">
        <f>HYPERLINK("https://youtu.be/ztTt6_FXuKQ","channel 1")</f>
        <v>channel 1</v>
      </c>
    </row>
    <row r="82">
      <c r="B82" s="79" t="s">
        <v>1307</v>
      </c>
      <c r="C82" s="73" t="s">
        <v>455</v>
      </c>
      <c r="D82" s="74" t="s">
        <v>473</v>
      </c>
      <c r="E82" s="66" t="str">
        <f>HYPERLINK("https://youtu.be/OOAvFE2w9Og","channel 2")</f>
        <v>channel 2</v>
      </c>
    </row>
    <row r="83">
      <c r="B83" s="72" t="s">
        <v>988</v>
      </c>
      <c r="C83" s="73" t="s">
        <v>90</v>
      </c>
      <c r="D83" s="74" t="s">
        <v>1308</v>
      </c>
      <c r="E83" s="36" t="str">
        <f>HYPERLINK("https://youtu.be/7TUBnLHmBuo","channel 1")</f>
        <v>channel 1</v>
      </c>
    </row>
    <row r="84">
      <c r="B84" s="72" t="s">
        <v>1306</v>
      </c>
      <c r="C84" s="73" t="s">
        <v>337</v>
      </c>
      <c r="D84" s="74" t="s">
        <v>473</v>
      </c>
      <c r="E84" s="66" t="str">
        <f>HYPERLINK("https://youtu.be/gKkFNyriEjk","channel 2")</f>
        <v>channel 2</v>
      </c>
    </row>
    <row r="85">
      <c r="B85" s="79" t="s">
        <v>1307</v>
      </c>
      <c r="C85" s="73" t="s">
        <v>226</v>
      </c>
      <c r="D85" s="74" t="s">
        <v>1308</v>
      </c>
      <c r="E85" s="36" t="str">
        <f>HYPERLINK("https://youtu.be/lAShYv9UNjk","channel 1")</f>
        <v>channel 1</v>
      </c>
    </row>
    <row r="86">
      <c r="B86" s="72" t="s">
        <v>1306</v>
      </c>
      <c r="C86" s="73" t="s">
        <v>1309</v>
      </c>
      <c r="D86" s="74" t="s">
        <v>988</v>
      </c>
      <c r="E86" s="66" t="str">
        <f>HYPERLINK("https://youtu.be/EXXuWpOtmxM","channel 2")</f>
        <v>channel 2</v>
      </c>
    </row>
    <row r="87">
      <c r="B87" s="72" t="s">
        <v>473</v>
      </c>
      <c r="C87" s="73" t="s">
        <v>47</v>
      </c>
      <c r="D87" s="74" t="s">
        <v>1308</v>
      </c>
      <c r="E87" s="36" t="str">
        <f>HYPERLINK("https://youtu.be/xKuZmpFcDJM","channel 1")</f>
        <v>channel 1</v>
      </c>
    </row>
    <row r="88">
      <c r="B88" s="79" t="s">
        <v>1307</v>
      </c>
      <c r="C88" s="73" t="s">
        <v>56</v>
      </c>
      <c r="D88" s="74" t="s">
        <v>988</v>
      </c>
      <c r="E88" s="66" t="str">
        <f>HYPERLINK("https://youtu.be/VJ-lduhBZ9g","channel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299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1079</v>
      </c>
      <c r="C3" s="12" t="s">
        <v>145</v>
      </c>
      <c r="D3" s="28" t="s">
        <v>794</v>
      </c>
      <c r="E3" s="13" t="str">
        <f>HYPERLINK("https://youtu.be/pkQZup7pHP0","channel 1")</f>
        <v>channel 1</v>
      </c>
    </row>
    <row r="4">
      <c r="B4" s="10" t="s">
        <v>697</v>
      </c>
      <c r="C4" s="12" t="s">
        <v>61</v>
      </c>
      <c r="D4" s="10" t="s">
        <v>432</v>
      </c>
      <c r="E4" s="66" t="str">
        <f>HYPERLINK("https://youtu.be/a3KkIMBspj0","channel 2")</f>
        <v>channel 2</v>
      </c>
    </row>
    <row r="5">
      <c r="B5" s="10" t="s">
        <v>220</v>
      </c>
      <c r="C5" s="12" t="s">
        <v>145</v>
      </c>
      <c r="D5" s="10" t="s">
        <v>1079</v>
      </c>
      <c r="E5" s="13" t="str">
        <f>HYPERLINK("https://youtu.be/A4Dzds9u7-Q","channel 1")</f>
        <v>channel 1</v>
      </c>
    </row>
    <row r="6">
      <c r="B6" s="10" t="s">
        <v>697</v>
      </c>
      <c r="C6" s="12" t="s">
        <v>85</v>
      </c>
      <c r="D6" s="28" t="s">
        <v>794</v>
      </c>
      <c r="E6" s="66" t="str">
        <f>HYPERLINK("https://youtu.be/bGcIBTSqy3g","channel 2")</f>
        <v>channel 2</v>
      </c>
    </row>
    <row r="7">
      <c r="B7" s="10" t="s">
        <v>220</v>
      </c>
      <c r="C7" s="12" t="s">
        <v>36</v>
      </c>
      <c r="D7" s="10" t="s">
        <v>432</v>
      </c>
      <c r="E7" s="13" t="str">
        <f>HYPERLINK("https://youtu.be/hFi3P4huQ6U","channel 1")</f>
        <v>channel 1</v>
      </c>
    </row>
    <row r="8">
      <c r="B8" s="10" t="s">
        <v>697</v>
      </c>
      <c r="C8" s="12" t="s">
        <v>49</v>
      </c>
      <c r="D8" s="10" t="s">
        <v>1079</v>
      </c>
      <c r="E8" s="66" t="str">
        <f>HYPERLINK("https://youtu.be/_PAgMnUfICI","channel 2")</f>
        <v>channel 2</v>
      </c>
    </row>
    <row r="9">
      <c r="B9" s="10" t="s">
        <v>220</v>
      </c>
      <c r="C9" s="12" t="s">
        <v>485</v>
      </c>
      <c r="D9" s="28" t="s">
        <v>794</v>
      </c>
      <c r="E9" s="13" t="str">
        <f>HYPERLINK("https://youtu.be/f8M9e6h82ys","channel 1")</f>
        <v>channel 1</v>
      </c>
    </row>
    <row r="10">
      <c r="B10" s="10" t="s">
        <v>432</v>
      </c>
      <c r="C10" s="12" t="s">
        <v>145</v>
      </c>
      <c r="D10" s="10" t="s">
        <v>1079</v>
      </c>
      <c r="E10" s="66" t="str">
        <f>HYPERLINK("https://youtu.be/3p8q1jr776E","channel 2")</f>
        <v>channel 2</v>
      </c>
    </row>
    <row r="11">
      <c r="B11" s="10" t="s">
        <v>220</v>
      </c>
      <c r="C11" s="12" t="s">
        <v>47</v>
      </c>
      <c r="D11" s="10" t="s">
        <v>697</v>
      </c>
      <c r="E11" s="13" t="str">
        <f>HYPERLINK("https://youtu.be/fuWJV4yW2XM","channel 1")</f>
        <v>channel 1</v>
      </c>
    </row>
    <row r="12">
      <c r="B12" s="10" t="s">
        <v>432</v>
      </c>
      <c r="C12" s="12" t="s">
        <v>180</v>
      </c>
      <c r="D12" s="28" t="s">
        <v>794</v>
      </c>
      <c r="E12" s="66" t="str">
        <f>HYPERLINK("https://youtu.be/MnoTTKTrplc","channel 2")</f>
        <v>channel 2</v>
      </c>
    </row>
    <row r="13">
      <c r="B13" s="28" t="s">
        <v>794</v>
      </c>
      <c r="C13" s="12" t="s">
        <v>32</v>
      </c>
      <c r="D13" s="10" t="s">
        <v>1079</v>
      </c>
      <c r="E13" s="13" t="str">
        <f>HYPERLINK("https://youtu.be/saD6IbVF-Qw","channel 1")</f>
        <v>channel 1</v>
      </c>
    </row>
    <row r="14">
      <c r="B14" s="10" t="s">
        <v>432</v>
      </c>
      <c r="C14" s="12" t="s">
        <v>213</v>
      </c>
      <c r="D14" s="10" t="s">
        <v>697</v>
      </c>
      <c r="E14" s="66" t="str">
        <f>HYPERLINK("https://youtu.be/CPPQ168Lubk","channel 2")</f>
        <v>channel 2</v>
      </c>
    </row>
    <row r="15">
      <c r="B15" s="10" t="s">
        <v>1079</v>
      </c>
      <c r="C15" s="12" t="s">
        <v>47</v>
      </c>
      <c r="D15" s="10" t="s">
        <v>220</v>
      </c>
      <c r="E15" s="13" t="str">
        <f>HYPERLINK("https://youtu.be/mtJ5t-oB74c","channel 1")</f>
        <v>channel 1</v>
      </c>
    </row>
    <row r="16">
      <c r="B16" s="28" t="s">
        <v>794</v>
      </c>
      <c r="C16" s="12" t="s">
        <v>84</v>
      </c>
      <c r="D16" s="10" t="s">
        <v>697</v>
      </c>
      <c r="E16" s="66" t="str">
        <f>HYPERLINK("https://youtu.be/MuSfGVF-TGU","channel 2")</f>
        <v>channel 2</v>
      </c>
    </row>
    <row r="17">
      <c r="B17" s="10" t="s">
        <v>432</v>
      </c>
      <c r="C17" s="12" t="s">
        <v>101</v>
      </c>
      <c r="D17" s="10" t="s">
        <v>220</v>
      </c>
      <c r="E17" s="13" t="str">
        <f>HYPERLINK("https://youtu.be/hGL99nj2WDU","channel 1")</f>
        <v>channel 1</v>
      </c>
    </row>
    <row r="18">
      <c r="B18" s="10" t="s">
        <v>1079</v>
      </c>
      <c r="C18" s="12" t="s">
        <v>204</v>
      </c>
      <c r="D18" s="10" t="s">
        <v>697</v>
      </c>
      <c r="E18" s="66" t="str">
        <f>HYPERLINK("https://youtu.be/abSPZOsrQ_c","channel 2")</f>
        <v>channel 2</v>
      </c>
    </row>
    <row r="19">
      <c r="B19" s="28" t="s">
        <v>794</v>
      </c>
      <c r="C19" s="12" t="s">
        <v>148</v>
      </c>
      <c r="D19" s="10" t="s">
        <v>220</v>
      </c>
      <c r="E19" s="13" t="str">
        <f>HYPERLINK("https://youtu.be/wHfhx0GqZZo","channel 1")</f>
        <v>channel 1</v>
      </c>
    </row>
    <row r="20">
      <c r="B20" s="10" t="s">
        <v>1079</v>
      </c>
      <c r="C20" s="12" t="s">
        <v>104</v>
      </c>
      <c r="D20" s="10" t="s">
        <v>432</v>
      </c>
      <c r="E20" s="66" t="str">
        <f>HYPERLINK("https://youtu.be/5vUCFpoutq8","channel 2")</f>
        <v>channel 2</v>
      </c>
    </row>
    <row r="21">
      <c r="B21" s="10" t="s">
        <v>697</v>
      </c>
      <c r="C21" s="12" t="s">
        <v>408</v>
      </c>
      <c r="D21" s="10" t="s">
        <v>220</v>
      </c>
      <c r="E21" s="13" t="str">
        <f>HYPERLINK("https://youtu.be/rCPNryHsHvY","channel 1")</f>
        <v>channel 1</v>
      </c>
    </row>
    <row r="22">
      <c r="B22" s="28" t="s">
        <v>794</v>
      </c>
      <c r="C22" s="12" t="s">
        <v>160</v>
      </c>
      <c r="D22" s="10" t="s">
        <v>432</v>
      </c>
      <c r="E22" s="66" t="str">
        <f>HYPERLINK("https://youtu.be/2Xgjn9zCg5s","channel 2")</f>
        <v>channel 2</v>
      </c>
    </row>
    <row r="23">
      <c r="B23" s="58" t="s">
        <v>329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663</v>
      </c>
      <c r="C25" s="73" t="s">
        <v>145</v>
      </c>
      <c r="D25" s="86" t="s">
        <v>567</v>
      </c>
      <c r="E25" s="13" t="str">
        <f>HYPERLINK("https://youtu.be/tCgsSf6ezgA","channel 1")</f>
        <v>channel 1</v>
      </c>
    </row>
    <row r="26">
      <c r="B26" s="72" t="s">
        <v>897</v>
      </c>
      <c r="C26" s="73" t="s">
        <v>20</v>
      </c>
      <c r="D26" s="74" t="s">
        <v>400</v>
      </c>
      <c r="E26" s="66" t="str">
        <f>HYPERLINK("https://youtu.be/MHA7IVlQsH4","channel 2")</f>
        <v>channel 2</v>
      </c>
    </row>
    <row r="27">
      <c r="B27" s="72" t="s">
        <v>1104</v>
      </c>
      <c r="C27" s="73" t="s">
        <v>141</v>
      </c>
      <c r="D27" s="74" t="s">
        <v>663</v>
      </c>
      <c r="E27" s="13" t="str">
        <f>HYPERLINK("https://youtu.be/8o73a9Iwm5I","channel 1")</f>
        <v>channel 1</v>
      </c>
    </row>
    <row r="28">
      <c r="B28" s="72" t="s">
        <v>897</v>
      </c>
      <c r="C28" s="73" t="s">
        <v>35</v>
      </c>
      <c r="D28" s="86" t="s">
        <v>567</v>
      </c>
      <c r="E28" s="66" t="str">
        <f>HYPERLINK("https://youtu.be/j-IBSdkxU5c","channel 2")</f>
        <v>channel 2</v>
      </c>
    </row>
    <row r="29">
      <c r="B29" s="72" t="s">
        <v>1104</v>
      </c>
      <c r="C29" s="73" t="s">
        <v>42</v>
      </c>
      <c r="D29" s="74" t="s">
        <v>400</v>
      </c>
      <c r="E29" s="13" t="str">
        <f>HYPERLINK("https://youtu.be/Ht_cRP7iShM","channel 1")</f>
        <v>channel 1</v>
      </c>
    </row>
    <row r="30">
      <c r="B30" s="72" t="s">
        <v>897</v>
      </c>
      <c r="C30" s="73" t="s">
        <v>142</v>
      </c>
      <c r="D30" s="74" t="s">
        <v>663</v>
      </c>
      <c r="E30" s="66" t="str">
        <f>HYPERLINK("https://youtu.be/2O6uV0M1dBU","channel 2")</f>
        <v>channel 2</v>
      </c>
    </row>
    <row r="31">
      <c r="B31" s="72" t="s">
        <v>1104</v>
      </c>
      <c r="C31" s="73" t="s">
        <v>265</v>
      </c>
      <c r="D31" s="86" t="s">
        <v>567</v>
      </c>
      <c r="E31" s="13" t="str">
        <f>HYPERLINK("https://youtu.be/CFL8YBCmepM","channel 1")</f>
        <v>channel 1</v>
      </c>
    </row>
    <row r="32">
      <c r="B32" s="72" t="s">
        <v>400</v>
      </c>
      <c r="C32" s="73" t="s">
        <v>18</v>
      </c>
      <c r="D32" s="74" t="s">
        <v>663</v>
      </c>
      <c r="E32" s="66" t="str">
        <f>HYPERLINK("https://youtu.be/XRNQePbBSjo","channel 2")</f>
        <v>channel 2</v>
      </c>
    </row>
    <row r="33">
      <c r="B33" s="72" t="s">
        <v>1104</v>
      </c>
      <c r="C33" s="73" t="s">
        <v>372</v>
      </c>
      <c r="D33" s="74" t="s">
        <v>897</v>
      </c>
      <c r="E33" s="13" t="str">
        <f>HYPERLINK("https://youtu.be/JE3Jgamf8Lg","channel 1")</f>
        <v>channel 1</v>
      </c>
    </row>
    <row r="34">
      <c r="B34" s="10" t="s">
        <v>400</v>
      </c>
      <c r="C34" s="12" t="s">
        <v>47</v>
      </c>
      <c r="D34" s="28" t="s">
        <v>567</v>
      </c>
      <c r="E34" s="66" t="str">
        <f>HYPERLINK("https://youtu.be/ypISozMSOYQ","channel 2")</f>
        <v>channel 2</v>
      </c>
    </row>
    <row r="35">
      <c r="B35" s="28" t="s">
        <v>567</v>
      </c>
      <c r="C35" s="12" t="s">
        <v>148</v>
      </c>
      <c r="D35" s="10" t="s">
        <v>663</v>
      </c>
      <c r="E35" s="13" t="str">
        <f>HYPERLINK("https://youtu.be/pLO-TlorjbI","channel 1")</f>
        <v>channel 1</v>
      </c>
    </row>
    <row r="36">
      <c r="B36" s="10" t="s">
        <v>400</v>
      </c>
      <c r="C36" s="12" t="s">
        <v>212</v>
      </c>
      <c r="D36" s="10" t="s">
        <v>897</v>
      </c>
      <c r="E36" s="66" t="str">
        <f>HYPERLINK("https://youtu.be/WMSPHKIrZDg","channel 2")</f>
        <v>channel 2</v>
      </c>
    </row>
    <row r="37">
      <c r="B37" s="10" t="s">
        <v>663</v>
      </c>
      <c r="C37" s="12" t="s">
        <v>272</v>
      </c>
      <c r="D37" s="10" t="s">
        <v>1104</v>
      </c>
      <c r="E37" s="13" t="str">
        <f>HYPERLINK("https://youtu.be/YTCh4mVV5zE","channel 1")</f>
        <v>channel 1</v>
      </c>
    </row>
    <row r="38">
      <c r="B38" s="28" t="s">
        <v>567</v>
      </c>
      <c r="C38" s="12" t="s">
        <v>213</v>
      </c>
      <c r="D38" s="10" t="s">
        <v>897</v>
      </c>
      <c r="E38" s="66" t="str">
        <f>HYPERLINK("https://youtu.be/owp5nxuTl6g","channel 2")</f>
        <v>channel 2</v>
      </c>
    </row>
    <row r="39">
      <c r="B39" s="10" t="s">
        <v>400</v>
      </c>
      <c r="C39" s="12" t="s">
        <v>1310</v>
      </c>
      <c r="D39" s="10" t="s">
        <v>1104</v>
      </c>
      <c r="E39" s="13" t="str">
        <f>HYPERLINK("https://youtu.be/6oeF-TRToYE","channel 1")</f>
        <v>channel 1</v>
      </c>
    </row>
    <row r="40">
      <c r="B40" s="10" t="s">
        <v>663</v>
      </c>
      <c r="C40" s="12" t="s">
        <v>213</v>
      </c>
      <c r="D40" s="10" t="s">
        <v>897</v>
      </c>
      <c r="E40" s="66" t="str">
        <f>HYPERLINK("https://youtu.be/j1CzBeIlobA","channel 2")</f>
        <v>channel 2</v>
      </c>
    </row>
    <row r="41">
      <c r="B41" s="28" t="s">
        <v>567</v>
      </c>
      <c r="C41" s="12" t="s">
        <v>307</v>
      </c>
      <c r="D41" s="10" t="s">
        <v>1104</v>
      </c>
      <c r="E41" s="13" t="str">
        <f>HYPERLINK("https://youtu.be/AOYNyyQnxQ4","channel 1")</f>
        <v>channel 1</v>
      </c>
    </row>
    <row r="42">
      <c r="B42" s="10" t="s">
        <v>663</v>
      </c>
      <c r="C42" s="12" t="s">
        <v>232</v>
      </c>
      <c r="D42" s="10" t="s">
        <v>400</v>
      </c>
      <c r="E42" s="66" t="str">
        <f>HYPERLINK("https://youtu.be/R9KGh8ernCI","channel 2")</f>
        <v>channel 2</v>
      </c>
    </row>
    <row r="43">
      <c r="B43" s="10" t="s">
        <v>897</v>
      </c>
      <c r="C43" s="12" t="s">
        <v>24</v>
      </c>
      <c r="D43" s="10" t="s">
        <v>1104</v>
      </c>
      <c r="E43" s="13" t="str">
        <f>HYPERLINK("https://youtu.be/5OjnPFAKcWM","channel 1")</f>
        <v>channel 1</v>
      </c>
    </row>
    <row r="44">
      <c r="B44" s="28" t="s">
        <v>567</v>
      </c>
      <c r="C44" s="12" t="s">
        <v>37</v>
      </c>
      <c r="D44" s="10" t="s">
        <v>400</v>
      </c>
      <c r="E44" s="66" t="str">
        <f>HYPERLINK("https://youtu.be/nD8Yr0XyR0s","channel 2")</f>
        <v>channel 2</v>
      </c>
    </row>
    <row r="45">
      <c r="B45" s="58" t="s">
        <v>546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68</v>
      </c>
      <c r="C47" s="73" t="s">
        <v>339</v>
      </c>
      <c r="D47" s="74" t="s">
        <v>1311</v>
      </c>
      <c r="E47" s="13" t="str">
        <f>HYPERLINK("https://youtu.be/4uEoGPpZ-xo","channel 1")</f>
        <v>channel 1</v>
      </c>
    </row>
    <row r="48">
      <c r="B48" s="72" t="s">
        <v>655</v>
      </c>
      <c r="C48" s="73" t="s">
        <v>212</v>
      </c>
      <c r="D48" s="74" t="s">
        <v>1312</v>
      </c>
      <c r="E48" s="66" t="str">
        <f>HYPERLINK("https://youtu.be/4uEoGPpZ-xo","channel 2")</f>
        <v>channel 2</v>
      </c>
    </row>
    <row r="49">
      <c r="B49" s="72" t="s">
        <v>1313</v>
      </c>
      <c r="C49" s="73" t="s">
        <v>223</v>
      </c>
      <c r="D49" s="74" t="s">
        <v>68</v>
      </c>
      <c r="E49" s="13" t="str">
        <f>HYPERLINK("https://youtu.be/GnwPNifUa3o","channel 1")</f>
        <v>channel 1</v>
      </c>
    </row>
    <row r="50">
      <c r="B50" s="72" t="s">
        <v>655</v>
      </c>
      <c r="C50" s="73" t="s">
        <v>418</v>
      </c>
      <c r="D50" s="74" t="s">
        <v>1311</v>
      </c>
      <c r="E50" s="66" t="str">
        <f>HYPERLINK("https://youtu.be/BNnZWV6xzPg","channel 2")</f>
        <v>channel 2</v>
      </c>
    </row>
    <row r="51">
      <c r="B51" s="72" t="s">
        <v>1313</v>
      </c>
      <c r="C51" s="73" t="s">
        <v>212</v>
      </c>
      <c r="D51" s="74" t="s">
        <v>1312</v>
      </c>
      <c r="E51" s="13" t="str">
        <f>HYPERLINK("https://youtu.be/rR0IETXLdI4","channel 1")</f>
        <v>channel 1</v>
      </c>
    </row>
    <row r="52">
      <c r="B52" s="72" t="s">
        <v>655</v>
      </c>
      <c r="C52" s="73" t="s">
        <v>93</v>
      </c>
      <c r="D52" s="74" t="s">
        <v>68</v>
      </c>
      <c r="E52" s="66" t="str">
        <f>HYPERLINK("https://youtu.be/FzPcdD1HC0k","channel 2")</f>
        <v>channel 2</v>
      </c>
    </row>
    <row r="53">
      <c r="B53" s="72" t="s">
        <v>1313</v>
      </c>
      <c r="C53" s="73" t="s">
        <v>33</v>
      </c>
      <c r="D53" s="74" t="s">
        <v>1311</v>
      </c>
      <c r="E53" s="13" t="str">
        <f>HYPERLINK("https://youtu.be/D1rHQhKNS8k","channel 1")</f>
        <v>channel 1</v>
      </c>
    </row>
    <row r="54">
      <c r="B54" s="72" t="s">
        <v>1312</v>
      </c>
      <c r="C54" s="73" t="s">
        <v>82</v>
      </c>
      <c r="D54" s="74" t="s">
        <v>68</v>
      </c>
      <c r="E54" s="66" t="str">
        <f>HYPERLINK("https://youtu.be/0TjnmBrPS70","channel 2")</f>
        <v>channel 2</v>
      </c>
    </row>
    <row r="55">
      <c r="B55" s="72" t="s">
        <v>1313</v>
      </c>
      <c r="C55" s="73" t="s">
        <v>109</v>
      </c>
      <c r="D55" s="74" t="s">
        <v>655</v>
      </c>
      <c r="E55" s="13" t="str">
        <f>HYPERLINK("https://youtu.be/eFCnKeIwDtE","channel 1")</f>
        <v>channel 1</v>
      </c>
    </row>
    <row r="56">
      <c r="B56" s="72" t="s">
        <v>1312</v>
      </c>
      <c r="C56" s="73" t="s">
        <v>56</v>
      </c>
      <c r="D56" s="74" t="s">
        <v>1311</v>
      </c>
      <c r="E56" s="66" t="str">
        <f>HYPERLINK("https://youtu.be/APfhsZ0vluk","channel 2")</f>
        <v>channel 2</v>
      </c>
    </row>
    <row r="57">
      <c r="B57" s="72" t="s">
        <v>1311</v>
      </c>
      <c r="C57" s="73" t="s">
        <v>132</v>
      </c>
      <c r="D57" s="74" t="s">
        <v>68</v>
      </c>
      <c r="E57" s="13" t="str">
        <f>HYPERLINK("https://youtu.be/S402GSk2YBA","channel 1")</f>
        <v>channel 1</v>
      </c>
    </row>
    <row r="58">
      <c r="B58" s="72" t="s">
        <v>1312</v>
      </c>
      <c r="C58" s="73" t="s">
        <v>99</v>
      </c>
      <c r="D58" s="74" t="s">
        <v>655</v>
      </c>
      <c r="E58" s="66" t="str">
        <f>HYPERLINK("https://youtu.be/4v4rDPgXmvE","channel 2")</f>
        <v>channel 2</v>
      </c>
    </row>
    <row r="59">
      <c r="B59" s="72" t="s">
        <v>68</v>
      </c>
      <c r="C59" s="73" t="s">
        <v>213</v>
      </c>
      <c r="D59" s="74" t="s">
        <v>1313</v>
      </c>
      <c r="E59" s="13" t="str">
        <f>HYPERLINK("https://youtu.be/vGviWzIqoTY","channel 1")</f>
        <v>channel 1</v>
      </c>
    </row>
    <row r="60">
      <c r="B60" s="72" t="s">
        <v>1311</v>
      </c>
      <c r="C60" s="73" t="s">
        <v>124</v>
      </c>
      <c r="D60" s="74" t="s">
        <v>655</v>
      </c>
      <c r="E60" s="66" t="str">
        <f>HYPERLINK("https://youtu.be/fOFjwjGmjfE","channel 2")</f>
        <v>channel 2</v>
      </c>
    </row>
    <row r="61">
      <c r="B61" s="72" t="s">
        <v>1312</v>
      </c>
      <c r="C61" s="73" t="s">
        <v>1183</v>
      </c>
      <c r="D61" s="74" t="s">
        <v>1313</v>
      </c>
      <c r="E61" s="13" t="str">
        <f>HYPERLINK("https://youtu.be/BEQI55nW1SQ","channel 1")</f>
        <v>channel 1</v>
      </c>
    </row>
    <row r="62">
      <c r="B62" s="72" t="s">
        <v>68</v>
      </c>
      <c r="C62" s="73" t="s">
        <v>99</v>
      </c>
      <c r="D62" s="74" t="s">
        <v>655</v>
      </c>
      <c r="E62" s="66" t="str">
        <f>HYPERLINK("https://youtu.be/Escx_YffNC4","channel 2")</f>
        <v>channel 2</v>
      </c>
    </row>
    <row r="63">
      <c r="B63" s="72" t="s">
        <v>1311</v>
      </c>
      <c r="C63" s="73" t="s">
        <v>10</v>
      </c>
      <c r="D63" s="74" t="s">
        <v>1313</v>
      </c>
      <c r="E63" s="13" t="str">
        <f>HYPERLINK("https://youtu.be/hjRgyH2-0Co","channel 1")</f>
        <v>channel 1</v>
      </c>
    </row>
    <row r="64">
      <c r="B64" s="72" t="s">
        <v>68</v>
      </c>
      <c r="C64" s="73" t="s">
        <v>408</v>
      </c>
      <c r="D64" s="74" t="s">
        <v>1312</v>
      </c>
      <c r="E64" s="66" t="str">
        <f>HYPERLINK("https://youtu.be/eWIqCmyr1RM","channel 2")</f>
        <v>channel 2</v>
      </c>
    </row>
    <row r="65">
      <c r="B65" s="72" t="s">
        <v>655</v>
      </c>
      <c r="C65" s="73" t="s">
        <v>109</v>
      </c>
      <c r="D65" s="74" t="s">
        <v>1313</v>
      </c>
      <c r="E65" s="13" t="str">
        <f>HYPERLINK("https://youtu.be/odwFtwD6YaY","channel 1")</f>
        <v>channel 1</v>
      </c>
    </row>
    <row r="66">
      <c r="B66" s="72" t="s">
        <v>1311</v>
      </c>
      <c r="C66" s="73" t="s">
        <v>1314</v>
      </c>
      <c r="D66" s="74" t="s">
        <v>1312</v>
      </c>
      <c r="E66" s="66" t="str">
        <f>HYPERLINK("https://youtu.be/4krVKLu1Ov0","channel 2")</f>
        <v>channel 2</v>
      </c>
    </row>
    <row r="67">
      <c r="B67" s="58" t="s">
        <v>229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1240</v>
      </c>
      <c r="C69" s="73" t="s">
        <v>157</v>
      </c>
      <c r="D69" s="74" t="s">
        <v>1315</v>
      </c>
      <c r="E69" s="13" t="str">
        <f>HYPERLINK("https://youtu.be/oO_9cxzjKco","channel 1")</f>
        <v>channel 1</v>
      </c>
    </row>
    <row r="70">
      <c r="B70" s="72" t="s">
        <v>171</v>
      </c>
      <c r="C70" s="73" t="s">
        <v>632</v>
      </c>
      <c r="D70" s="74" t="s">
        <v>1316</v>
      </c>
      <c r="E70" s="66" t="str">
        <f>HYPERLINK("https://youtu.be/GYeaaGFA0Ps","channel 2")</f>
        <v>channel 2</v>
      </c>
    </row>
    <row r="71">
      <c r="B71" s="72" t="s">
        <v>1317</v>
      </c>
      <c r="C71" s="73" t="s">
        <v>1071</v>
      </c>
      <c r="D71" s="74" t="s">
        <v>1240</v>
      </c>
      <c r="E71" s="13" t="str">
        <f>HYPERLINK("https://youtu.be/PeppuQmQrRk","channel 1")</f>
        <v>channel 1</v>
      </c>
    </row>
    <row r="72">
      <c r="B72" s="72" t="s">
        <v>171</v>
      </c>
      <c r="C72" s="73" t="s">
        <v>339</v>
      </c>
      <c r="D72" s="74" t="s">
        <v>1315</v>
      </c>
      <c r="E72" s="66" t="str">
        <f>HYPERLINK("https://youtu.be/OycjdzcP8l8","channel 2")</f>
        <v>channel 2</v>
      </c>
    </row>
    <row r="73">
      <c r="B73" s="72" t="s">
        <v>1317</v>
      </c>
      <c r="C73" s="73" t="s">
        <v>33</v>
      </c>
      <c r="D73" s="74" t="s">
        <v>1316</v>
      </c>
      <c r="E73" s="13" t="str">
        <f>HYPERLINK("https://youtu.be/seQtBxFESrQ","channel 1")</f>
        <v>channel 1</v>
      </c>
    </row>
    <row r="74">
      <c r="B74" s="72" t="s">
        <v>171</v>
      </c>
      <c r="C74" s="73" t="s">
        <v>1130</v>
      </c>
      <c r="D74" s="74" t="s">
        <v>1240</v>
      </c>
      <c r="E74" s="66" t="str">
        <f>HYPERLINK("https://youtu.be/XUH839eUm3s","channel 2")</f>
        <v>channel 2</v>
      </c>
    </row>
    <row r="75">
      <c r="B75" s="72" t="s">
        <v>1317</v>
      </c>
      <c r="C75" s="73" t="s">
        <v>319</v>
      </c>
      <c r="D75" s="74" t="s">
        <v>1315</v>
      </c>
      <c r="E75" s="13" t="str">
        <f>HYPERLINK("https://youtu.be/VwntKVRC_wQ","channel 1")</f>
        <v>channel 1</v>
      </c>
    </row>
    <row r="76">
      <c r="B76" s="72" t="s">
        <v>1316</v>
      </c>
      <c r="C76" s="73" t="s">
        <v>1146</v>
      </c>
      <c r="D76" s="74" t="s">
        <v>1240</v>
      </c>
      <c r="E76" s="66" t="str">
        <f>HYPERLINK("https://youtu.be/elGzOW5Lohk","channel 2")</f>
        <v>channel 2</v>
      </c>
    </row>
    <row r="77">
      <c r="B77" s="72" t="s">
        <v>1317</v>
      </c>
      <c r="C77" s="73" t="s">
        <v>109</v>
      </c>
      <c r="D77" s="74" t="s">
        <v>171</v>
      </c>
      <c r="E77" s="13" t="str">
        <f>HYPERLINK("https://youtu.be/3sekCQaJwUc","channel 1")</f>
        <v>channel 1</v>
      </c>
    </row>
    <row r="78">
      <c r="B78" s="72" t="s">
        <v>1316</v>
      </c>
      <c r="C78" s="73" t="s">
        <v>1071</v>
      </c>
      <c r="D78" s="74" t="s">
        <v>1315</v>
      </c>
      <c r="E78" s="66" t="str">
        <f>HYPERLINK("https://youtu.be/D45UavmTkB0","channel 2")</f>
        <v>channel 2</v>
      </c>
    </row>
    <row r="79">
      <c r="B79" s="72" t="s">
        <v>1315</v>
      </c>
      <c r="C79" s="73" t="s">
        <v>868</v>
      </c>
      <c r="D79" s="74" t="s">
        <v>1240</v>
      </c>
      <c r="E79" s="13" t="str">
        <f>HYPERLINK("https://youtu.be/7c2vx6s73UI","channel 1")</f>
        <v>channel 1</v>
      </c>
    </row>
    <row r="80">
      <c r="B80" s="72" t="s">
        <v>1316</v>
      </c>
      <c r="C80" s="73" t="s">
        <v>180</v>
      </c>
      <c r="D80" s="74" t="s">
        <v>171</v>
      </c>
      <c r="E80" s="66" t="str">
        <f>HYPERLINK("https://youtu.be/NqxJQk3O-bQ","channel 2")</f>
        <v>channel 2</v>
      </c>
    </row>
    <row r="81">
      <c r="B81" s="72" t="s">
        <v>1240</v>
      </c>
      <c r="C81" s="73" t="s">
        <v>1100</v>
      </c>
      <c r="D81" s="74" t="s">
        <v>1317</v>
      </c>
      <c r="E81" s="13" t="str">
        <f>HYPERLINK("https://youtu.be/-yGIt5b_hRs","channel 1")</f>
        <v>channel 1</v>
      </c>
    </row>
    <row r="82">
      <c r="B82" s="72" t="s">
        <v>1315</v>
      </c>
      <c r="C82" s="73" t="s">
        <v>237</v>
      </c>
      <c r="D82" s="74" t="s">
        <v>171</v>
      </c>
      <c r="E82" s="66" t="str">
        <f>HYPERLINK("https://youtu.be/r9WGqBlza48","channel 2")</f>
        <v>channel 2</v>
      </c>
    </row>
    <row r="83">
      <c r="B83" s="72" t="s">
        <v>1316</v>
      </c>
      <c r="C83" s="73" t="s">
        <v>340</v>
      </c>
      <c r="D83" s="74" t="s">
        <v>1317</v>
      </c>
      <c r="E83" s="13" t="str">
        <f>HYPERLINK("https://youtu.be/nZwQMOfQl3I","channel 1")</f>
        <v>channel 1</v>
      </c>
    </row>
    <row r="84">
      <c r="B84" s="72" t="s">
        <v>1240</v>
      </c>
      <c r="C84" s="73" t="s">
        <v>395</v>
      </c>
      <c r="D84" s="74" t="s">
        <v>171</v>
      </c>
      <c r="E84" s="66" t="str">
        <f>HYPERLINK("https://youtu.be/bnd-w3Nwbi4","channel 2")</f>
        <v>channel 2</v>
      </c>
    </row>
    <row r="85">
      <c r="B85" s="72" t="s">
        <v>1315</v>
      </c>
      <c r="C85" s="73" t="s">
        <v>180</v>
      </c>
      <c r="D85" s="74" t="s">
        <v>1317</v>
      </c>
      <c r="E85" s="13" t="str">
        <f>HYPERLINK("https://youtu.be/d67y4JC5q-g","channel 1")</f>
        <v>channel 1</v>
      </c>
    </row>
    <row r="86">
      <c r="B86" s="72" t="s">
        <v>1240</v>
      </c>
      <c r="C86" s="73" t="s">
        <v>392</v>
      </c>
      <c r="D86" s="74" t="s">
        <v>1316</v>
      </c>
      <c r="E86" s="66" t="str">
        <f>HYPERLINK("https://youtu.be/mDPyWbUwgOk","channel 2")</f>
        <v>channel 2</v>
      </c>
    </row>
    <row r="87">
      <c r="B87" s="72" t="s">
        <v>171</v>
      </c>
      <c r="C87" s="73" t="s">
        <v>322</v>
      </c>
      <c r="D87" s="74" t="s">
        <v>1317</v>
      </c>
      <c r="E87" s="13" t="str">
        <f>HYPERLINK("https://youtu.be/hFFrM0wpN34","channel 1")</f>
        <v>channel 1</v>
      </c>
    </row>
    <row r="88">
      <c r="B88" s="72" t="s">
        <v>1315</v>
      </c>
      <c r="C88" s="73" t="s">
        <v>1318</v>
      </c>
      <c r="D88" s="74" t="s">
        <v>1316</v>
      </c>
      <c r="E88" s="66" t="str">
        <f>HYPERLINK("https://youtu.be/BSP4p5YxHP8","channel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83" t="s">
        <v>1319</v>
      </c>
      <c r="D1" s="83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1320</v>
      </c>
      <c r="C3" s="70" t="s">
        <v>882</v>
      </c>
      <c r="D3" s="10" t="s">
        <v>1321</v>
      </c>
      <c r="E3" s="13" t="str">
        <f>HYPERLINK("https://youtu.be/eGy1cro6iEo","channel 1")</f>
        <v>channel 1</v>
      </c>
    </row>
    <row r="4">
      <c r="B4" s="72" t="s">
        <v>1322</v>
      </c>
      <c r="C4" s="73" t="s">
        <v>538</v>
      </c>
      <c r="D4" s="72" t="s">
        <v>1323</v>
      </c>
      <c r="E4" s="13" t="str">
        <f>HYPERLINK("https://youtu.be/ipR5uYjlMQM","channel 2")</f>
        <v>channel 2</v>
      </c>
    </row>
    <row r="5">
      <c r="B5" s="72" t="s">
        <v>1324</v>
      </c>
      <c r="C5" s="73" t="s">
        <v>375</v>
      </c>
      <c r="D5" s="72" t="s">
        <v>1320</v>
      </c>
      <c r="E5" s="13" t="str">
        <f>HYPERLINK("https://youtu.be/h_V3RcmNCfE","channel 1")</f>
        <v>channel 1</v>
      </c>
    </row>
    <row r="6">
      <c r="B6" s="72" t="s">
        <v>1322</v>
      </c>
      <c r="C6" s="73" t="s">
        <v>145</v>
      </c>
      <c r="D6" s="72" t="s">
        <v>1321</v>
      </c>
      <c r="E6" s="13" t="str">
        <f>HYPERLINK("https://youtu.be/8VgQDW2An78","channel 2")</f>
        <v>channel 2</v>
      </c>
    </row>
    <row r="7">
      <c r="B7" s="72" t="s">
        <v>1324</v>
      </c>
      <c r="C7" s="73" t="s">
        <v>1325</v>
      </c>
      <c r="D7" s="72" t="s">
        <v>1323</v>
      </c>
      <c r="E7" s="13" t="str">
        <f>HYPERLINK("https://youtu.be/-8-MDuah3qQ","channel 1")</f>
        <v>channel 1</v>
      </c>
    </row>
    <row r="8">
      <c r="B8" s="72" t="s">
        <v>1322</v>
      </c>
      <c r="C8" s="73" t="s">
        <v>459</v>
      </c>
      <c r="D8" s="72" t="s">
        <v>1320</v>
      </c>
      <c r="E8" s="13" t="str">
        <f>HYPERLINK("https://youtu.be/4JZ9kcSP7s0","channel 2")</f>
        <v>channel 2</v>
      </c>
    </row>
    <row r="9">
      <c r="B9" s="72" t="s">
        <v>1324</v>
      </c>
      <c r="C9" s="73" t="s">
        <v>144</v>
      </c>
      <c r="D9" s="72" t="s">
        <v>1321</v>
      </c>
      <c r="E9" s="13" t="str">
        <f>HYPERLINK("https://youtu.be/XQlY3Gfyraw","channel 1")</f>
        <v>channel 1</v>
      </c>
    </row>
    <row r="10">
      <c r="B10" s="72" t="s">
        <v>1323</v>
      </c>
      <c r="C10" s="73" t="s">
        <v>101</v>
      </c>
      <c r="D10" s="72" t="s">
        <v>1320</v>
      </c>
      <c r="E10" s="13" t="str">
        <f>HYPERLINK("https://youtu.be/xGLYsNmOk58","channel 2")</f>
        <v>channel 2</v>
      </c>
    </row>
    <row r="11">
      <c r="B11" s="72" t="s">
        <v>1324</v>
      </c>
      <c r="C11" s="73" t="s">
        <v>32</v>
      </c>
      <c r="D11" s="72" t="s">
        <v>1322</v>
      </c>
      <c r="E11" s="13" t="str">
        <f>HYPERLINK("https://youtu.be/FSwRSEfF87E","channel 1")</f>
        <v>channel 1</v>
      </c>
    </row>
    <row r="12">
      <c r="B12" s="72" t="s">
        <v>1323</v>
      </c>
      <c r="C12" s="73" t="s">
        <v>103</v>
      </c>
      <c r="D12" s="72" t="s">
        <v>1321</v>
      </c>
      <c r="E12" s="13" t="str">
        <f>HYPERLINK("https://youtu.be/dcSnpaUGjvY","channel 2")</f>
        <v>channel 2</v>
      </c>
    </row>
    <row r="13">
      <c r="B13" s="72" t="s">
        <v>1321</v>
      </c>
      <c r="C13" s="73" t="s">
        <v>156</v>
      </c>
      <c r="D13" s="72" t="s">
        <v>1320</v>
      </c>
      <c r="E13" s="13" t="str">
        <f>HYPERLINK("https://youtu.be/J-Wb6IQHqdc","channel 1")</f>
        <v>channel 1</v>
      </c>
    </row>
    <row r="14">
      <c r="B14" s="72" t="s">
        <v>1323</v>
      </c>
      <c r="C14" s="73" t="s">
        <v>337</v>
      </c>
      <c r="D14" s="72" t="s">
        <v>1322</v>
      </c>
      <c r="E14" s="13" t="str">
        <f>HYPERLINK("https://youtu.be/BinTQONb4kY","channel 2")</f>
        <v>channel 2</v>
      </c>
    </row>
    <row r="15">
      <c r="B15" s="72" t="s">
        <v>1320</v>
      </c>
      <c r="C15" s="73" t="s">
        <v>46</v>
      </c>
      <c r="D15" s="72" t="s">
        <v>1324</v>
      </c>
      <c r="E15" s="13" t="str">
        <f>HYPERLINK("https://youtu.be/7K4CPvqKKaE","channel 1")</f>
        <v>channel 1</v>
      </c>
    </row>
    <row r="16">
      <c r="B16" s="72" t="s">
        <v>1321</v>
      </c>
      <c r="C16" s="73" t="s">
        <v>188</v>
      </c>
      <c r="D16" s="72" t="s">
        <v>1322</v>
      </c>
      <c r="E16" s="13" t="str">
        <f>HYPERLINK("https://youtu.be/yMGvLj2OGIE","channel 2")</f>
        <v>channel 2</v>
      </c>
    </row>
    <row r="17">
      <c r="B17" s="72" t="s">
        <v>1323</v>
      </c>
      <c r="C17" s="73" t="s">
        <v>322</v>
      </c>
      <c r="D17" s="72" t="s">
        <v>1324</v>
      </c>
      <c r="E17" s="13" t="str">
        <f>HYPERLINK("https://youtu.be/IoPo5RHLr8o","channel 1")</f>
        <v>channel 1</v>
      </c>
    </row>
    <row r="18">
      <c r="B18" s="72" t="s">
        <v>1320</v>
      </c>
      <c r="C18" s="73" t="s">
        <v>1326</v>
      </c>
      <c r="D18" s="72" t="s">
        <v>1322</v>
      </c>
      <c r="E18" s="13" t="str">
        <f>HYPERLINK("https://youtu.be/yqbgVASuKeE","channel 2")</f>
        <v>channel 2</v>
      </c>
    </row>
    <row r="19">
      <c r="B19" s="72" t="s">
        <v>1321</v>
      </c>
      <c r="C19" s="73" t="s">
        <v>37</v>
      </c>
      <c r="D19" s="72" t="s">
        <v>1324</v>
      </c>
      <c r="E19" s="13" t="str">
        <f>HYPERLINK("https://youtu.be/8r6jWbiE-EY","channel 1")</f>
        <v>channel 1</v>
      </c>
    </row>
    <row r="20">
      <c r="B20" s="72" t="s">
        <v>1320</v>
      </c>
      <c r="C20" s="73" t="s">
        <v>214</v>
      </c>
      <c r="D20" s="72" t="s">
        <v>1323</v>
      </c>
      <c r="E20" s="13" t="str">
        <f>HYPERLINK("https://youtu.be/NaNjRmMlU1k","channel 2")</f>
        <v>channel 2</v>
      </c>
    </row>
    <row r="21">
      <c r="B21" s="72" t="s">
        <v>1322</v>
      </c>
      <c r="C21" s="73" t="s">
        <v>40</v>
      </c>
      <c r="D21" s="72" t="s">
        <v>1324</v>
      </c>
      <c r="E21" s="13" t="str">
        <f>HYPERLINK("https://youtu.be/VRlDnGJ6h-w","channel 1")</f>
        <v>channel 1</v>
      </c>
    </row>
    <row r="22">
      <c r="B22" s="72" t="s">
        <v>1321</v>
      </c>
      <c r="C22" s="73" t="s">
        <v>99</v>
      </c>
      <c r="D22" s="72" t="s">
        <v>1323</v>
      </c>
      <c r="E22" s="13" t="str">
        <f>HYPERLINK("https://youtu.be/NaevgdvI7so","channel 2")</f>
        <v>channel 2</v>
      </c>
    </row>
    <row r="23">
      <c r="B23" s="58" t="s">
        <v>1327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1328</v>
      </c>
      <c r="C25" s="73" t="s">
        <v>157</v>
      </c>
      <c r="D25" s="10" t="s">
        <v>1329</v>
      </c>
      <c r="E25" s="13" t="str">
        <f>HYPERLINK("https://youtu.be/eDgcqIN34Qc","channel 1")</f>
        <v>channel 1</v>
      </c>
    </row>
    <row r="26">
      <c r="B26" s="72" t="s">
        <v>1330</v>
      </c>
      <c r="C26" s="73" t="s">
        <v>46</v>
      </c>
      <c r="D26" s="72" t="s">
        <v>81</v>
      </c>
      <c r="E26" s="13" t="str">
        <f>HYPERLINK("https://youtu.be/g2Zgp2XIyMY","channel 2")</f>
        <v>channel 2</v>
      </c>
    </row>
    <row r="27">
      <c r="B27" s="72" t="s">
        <v>902</v>
      </c>
      <c r="C27" s="73" t="s">
        <v>144</v>
      </c>
      <c r="D27" s="72" t="s">
        <v>1328</v>
      </c>
      <c r="E27" s="13" t="str">
        <f>HYPERLINK("https://youtu.be/ZBFidPcTw4s","channel 1")</f>
        <v>channel 1</v>
      </c>
    </row>
    <row r="28">
      <c r="B28" s="72" t="s">
        <v>1330</v>
      </c>
      <c r="C28" s="73" t="s">
        <v>34</v>
      </c>
      <c r="D28" s="72" t="s">
        <v>1329</v>
      </c>
      <c r="E28" s="13" t="str">
        <f>HYPERLINK("https://youtu.be/y9FleIIr7ak","channel 2")</f>
        <v>channel 2</v>
      </c>
    </row>
    <row r="29">
      <c r="B29" s="72" t="s">
        <v>902</v>
      </c>
      <c r="C29" s="73" t="s">
        <v>232</v>
      </c>
      <c r="D29" s="72" t="s">
        <v>81</v>
      </c>
      <c r="E29" s="13" t="str">
        <f>HYPERLINK("https://youtu.be/b6LPMCA9eSM","channel 1")</f>
        <v>channel 1</v>
      </c>
    </row>
    <row r="30">
      <c r="B30" s="72" t="s">
        <v>1330</v>
      </c>
      <c r="C30" s="73" t="s">
        <v>156</v>
      </c>
      <c r="D30" s="72" t="s">
        <v>1328</v>
      </c>
      <c r="E30" s="13" t="str">
        <f>HYPERLINK("https://youtu.be/WSJfk5vpqoA","channel 2")</f>
        <v>channel 2</v>
      </c>
    </row>
    <row r="31">
      <c r="B31" s="72" t="s">
        <v>902</v>
      </c>
      <c r="C31" s="73" t="s">
        <v>1331</v>
      </c>
      <c r="D31" s="72" t="s">
        <v>1329</v>
      </c>
      <c r="E31" s="13" t="str">
        <f>HYPERLINK("https://youtu.be/4O0CwfXMLAs","channel 1")</f>
        <v>channel 1</v>
      </c>
    </row>
    <row r="32">
      <c r="B32" s="72" t="s">
        <v>81</v>
      </c>
      <c r="C32" s="73" t="s">
        <v>144</v>
      </c>
      <c r="D32" s="72" t="s">
        <v>1328</v>
      </c>
      <c r="E32" s="13" t="str">
        <f>HYPERLINK("https://youtu.be/qHKTiD99ZH8","channel 2")</f>
        <v>channel 2</v>
      </c>
    </row>
    <row r="33">
      <c r="B33" s="72" t="s">
        <v>902</v>
      </c>
      <c r="C33" s="73" t="s">
        <v>46</v>
      </c>
      <c r="D33" s="72" t="s">
        <v>1330</v>
      </c>
      <c r="E33" s="13" t="str">
        <f>HYPERLINK("https://youtu.be/DIcXMaxVLYs","channel 1")</f>
        <v>channel 1</v>
      </c>
    </row>
    <row r="34">
      <c r="B34" s="72" t="s">
        <v>81</v>
      </c>
      <c r="C34" s="73" t="s">
        <v>106</v>
      </c>
      <c r="D34" s="72" t="s">
        <v>1329</v>
      </c>
      <c r="E34" s="13" t="str">
        <f>HYPERLINK("https://youtu.be/gvkeesqx7Ts","channel 2")</f>
        <v>channel 2</v>
      </c>
    </row>
    <row r="35">
      <c r="B35" s="72" t="s">
        <v>1329</v>
      </c>
      <c r="C35" s="73" t="s">
        <v>1332</v>
      </c>
      <c r="D35" s="72" t="s">
        <v>1328</v>
      </c>
      <c r="E35" s="13" t="str">
        <f>HYPERLINK("https://youtu.be/IUX1sHtSqYQ","channel 1")</f>
        <v>channel 1</v>
      </c>
    </row>
    <row r="36">
      <c r="B36" s="72" t="s">
        <v>81</v>
      </c>
      <c r="C36" s="73" t="s">
        <v>32</v>
      </c>
      <c r="D36" s="72" t="s">
        <v>1330</v>
      </c>
      <c r="E36" s="13" t="str">
        <f>HYPERLINK("https://youtu.be/lZfkWHEF9Z4","channel 2")</f>
        <v>channel 2</v>
      </c>
    </row>
    <row r="37">
      <c r="B37" s="72" t="s">
        <v>1328</v>
      </c>
      <c r="C37" s="73" t="s">
        <v>1333</v>
      </c>
      <c r="D37" s="72" t="s">
        <v>902</v>
      </c>
      <c r="E37" s="13" t="str">
        <f>HYPERLINK("https://youtu.be/SSptqJilZQ4","channel 1")</f>
        <v>channel 1</v>
      </c>
    </row>
    <row r="38">
      <c r="B38" s="72" t="s">
        <v>1329</v>
      </c>
      <c r="C38" s="73" t="s">
        <v>32</v>
      </c>
      <c r="D38" s="72" t="s">
        <v>1330</v>
      </c>
      <c r="E38" s="13" t="str">
        <f>HYPERLINK("https://youtu.be/Kxz2OF48Brc","channel 2")</f>
        <v>channel 2</v>
      </c>
    </row>
    <row r="39">
      <c r="B39" s="72" t="s">
        <v>81</v>
      </c>
      <c r="C39" s="73" t="s">
        <v>272</v>
      </c>
      <c r="D39" s="72" t="s">
        <v>902</v>
      </c>
      <c r="E39" s="13" t="str">
        <f>HYPERLINK("https://youtu.be/8CQaTeRqhJk","channel 1")</f>
        <v>channel 1</v>
      </c>
    </row>
    <row r="40">
      <c r="B40" s="72" t="s">
        <v>1328</v>
      </c>
      <c r="C40" s="73" t="s">
        <v>281</v>
      </c>
      <c r="D40" s="72" t="s">
        <v>1330</v>
      </c>
      <c r="E40" s="13" t="str">
        <f>HYPERLINK("https://youtu.be/QW-h9Y8T8OU","channel 2")</f>
        <v>channel 2</v>
      </c>
    </row>
    <row r="41">
      <c r="B41" s="72" t="s">
        <v>1329</v>
      </c>
      <c r="C41" s="73" t="s">
        <v>223</v>
      </c>
      <c r="D41" s="72" t="s">
        <v>902</v>
      </c>
      <c r="E41" s="13" t="str">
        <f>HYPERLINK("https://youtu.be/QMNjShqoFwM","channel 1")</f>
        <v>channel 1</v>
      </c>
    </row>
    <row r="42">
      <c r="B42" s="72" t="s">
        <v>1328</v>
      </c>
      <c r="C42" s="73" t="s">
        <v>694</v>
      </c>
      <c r="D42" s="72" t="s">
        <v>81</v>
      </c>
      <c r="E42" s="13" t="str">
        <f>HYPERLINK("https://youtu.be/vd8XwoNop-E","channel 2")</f>
        <v>channel 2</v>
      </c>
    </row>
    <row r="43">
      <c r="B43" s="72" t="s">
        <v>1330</v>
      </c>
      <c r="C43" s="73" t="s">
        <v>397</v>
      </c>
      <c r="D43" s="72" t="s">
        <v>902</v>
      </c>
      <c r="E43" s="13" t="str">
        <f>HYPERLINK("https://youtu.be/_u_pbLpG8aw","channel 1")</f>
        <v>channel 1</v>
      </c>
    </row>
    <row r="44">
      <c r="B44" s="72" t="s">
        <v>1329</v>
      </c>
      <c r="C44" s="73" t="s">
        <v>285</v>
      </c>
      <c r="D44" s="72" t="s">
        <v>81</v>
      </c>
      <c r="E44" s="13" t="str">
        <f>HYPERLINK("https://youtu.be/BeqOYVlySFo","channel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2">
    <mergeCell ref="A1:A88"/>
    <mergeCell ref="B23:D2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1334</v>
      </c>
      <c r="C3" s="70" t="s">
        <v>521</v>
      </c>
      <c r="D3" s="85" t="s">
        <v>1335</v>
      </c>
      <c r="E3" s="13" t="str">
        <f>HYPERLINK("https://youtu.be/y71qA8KnPKE","channel 1")</f>
        <v>channel 1</v>
      </c>
    </row>
    <row r="4">
      <c r="B4" s="79" t="s">
        <v>697</v>
      </c>
      <c r="C4" s="73" t="s">
        <v>10</v>
      </c>
      <c r="D4" s="86" t="s">
        <v>996</v>
      </c>
      <c r="E4" s="66" t="str">
        <f>HYPERLINK("https://youtu.be/ihiM4ghJLyM","channel 2")</f>
        <v>channel 2</v>
      </c>
    </row>
    <row r="5">
      <c r="B5" s="79" t="s">
        <v>644</v>
      </c>
      <c r="C5" s="73" t="s">
        <v>141</v>
      </c>
      <c r="D5" s="86" t="s">
        <v>1334</v>
      </c>
      <c r="E5" s="13" t="str">
        <f>HYPERLINK("https://youtu.be/dS3_ObYBsRw","channel 1")</f>
        <v>channel 1</v>
      </c>
    </row>
    <row r="6">
      <c r="B6" s="79" t="s">
        <v>697</v>
      </c>
      <c r="C6" s="73" t="s">
        <v>759</v>
      </c>
      <c r="D6" s="86" t="s">
        <v>1335</v>
      </c>
      <c r="E6" s="66" t="str">
        <f>HYPERLINK("https://youtu.be/DhJBoxlUB_k","channel 2")</f>
        <v>channel 2</v>
      </c>
    </row>
    <row r="7">
      <c r="B7" s="79" t="s">
        <v>644</v>
      </c>
      <c r="C7" s="73" t="s">
        <v>37</v>
      </c>
      <c r="D7" s="86" t="s">
        <v>996</v>
      </c>
      <c r="E7" s="13" t="str">
        <f>HYPERLINK("https://youtu.be/HsN_qiuKRRY","channel 1")</f>
        <v>channel 1</v>
      </c>
    </row>
    <row r="8">
      <c r="B8" s="79" t="s">
        <v>697</v>
      </c>
      <c r="C8" s="73" t="s">
        <v>311</v>
      </c>
      <c r="D8" s="86" t="s">
        <v>1334</v>
      </c>
      <c r="E8" s="66" t="str">
        <f>HYPERLINK("https://youtu.be/f6h1iKR_nvs","channel 2")</f>
        <v>channel 2</v>
      </c>
    </row>
    <row r="9">
      <c r="B9" s="79" t="s">
        <v>644</v>
      </c>
      <c r="C9" s="73" t="s">
        <v>108</v>
      </c>
      <c r="D9" s="86" t="s">
        <v>1335</v>
      </c>
      <c r="E9" s="13" t="str">
        <f>HYPERLINK("https://youtu.be/BwGJ6BXsaKU","channel 1")</f>
        <v>channel 1</v>
      </c>
    </row>
    <row r="10">
      <c r="B10" s="79" t="s">
        <v>996</v>
      </c>
      <c r="C10" s="73" t="s">
        <v>37</v>
      </c>
      <c r="D10" s="86" t="s">
        <v>1334</v>
      </c>
      <c r="E10" s="66" t="str">
        <f>HYPERLINK("https://youtu.be/wj7o3tqqBo8","channel 2")</f>
        <v>channel 2</v>
      </c>
    </row>
    <row r="11">
      <c r="B11" s="79" t="s">
        <v>644</v>
      </c>
      <c r="C11" s="73" t="s">
        <v>188</v>
      </c>
      <c r="D11" s="86" t="s">
        <v>697</v>
      </c>
      <c r="E11" s="13" t="str">
        <f>HYPERLINK("https://youtu.be/CGH89GN-XkY","channel 1")</f>
        <v>channel 1</v>
      </c>
    </row>
    <row r="12">
      <c r="B12" s="79" t="s">
        <v>996</v>
      </c>
      <c r="C12" s="73" t="s">
        <v>232</v>
      </c>
      <c r="D12" s="86" t="s">
        <v>1335</v>
      </c>
      <c r="E12" s="66" t="str">
        <f>HYPERLINK("https://youtu.be/QX5hMempyk4","channel 2")</f>
        <v>channel 2</v>
      </c>
    </row>
    <row r="13">
      <c r="B13" s="79" t="s">
        <v>1335</v>
      </c>
      <c r="C13" s="73" t="s">
        <v>598</v>
      </c>
      <c r="D13" s="86" t="s">
        <v>1334</v>
      </c>
      <c r="E13" s="13" t="str">
        <f>HYPERLINK("https://youtu.be/2URNEbWKCTA","channel 1")</f>
        <v>channel 1</v>
      </c>
    </row>
    <row r="14">
      <c r="B14" s="79" t="s">
        <v>996</v>
      </c>
      <c r="C14" s="73" t="s">
        <v>108</v>
      </c>
      <c r="D14" s="86" t="s">
        <v>697</v>
      </c>
      <c r="E14" s="66" t="str">
        <f>HYPERLINK("https://youtu.be/8H3JXrWuLTc","channel 2")</f>
        <v>channel 2</v>
      </c>
    </row>
    <row r="15">
      <c r="B15" s="79" t="s">
        <v>1334</v>
      </c>
      <c r="C15" s="73" t="s">
        <v>160</v>
      </c>
      <c r="D15" s="86" t="s">
        <v>644</v>
      </c>
      <c r="E15" s="23" t="s">
        <v>26</v>
      </c>
    </row>
    <row r="16">
      <c r="B16" s="79" t="s">
        <v>1335</v>
      </c>
      <c r="C16" s="73" t="s">
        <v>88</v>
      </c>
      <c r="D16" s="86" t="s">
        <v>697</v>
      </c>
      <c r="E16" s="66" t="str">
        <f>HYPERLINK("https://youtu.be/Bo3wa70wW_c","channel 2")</f>
        <v>channel 2</v>
      </c>
    </row>
    <row r="17">
      <c r="B17" s="79" t="s">
        <v>996</v>
      </c>
      <c r="C17" s="73" t="s">
        <v>93</v>
      </c>
      <c r="D17" s="86" t="s">
        <v>644</v>
      </c>
      <c r="E17" s="13" t="str">
        <f>HYPERLINK("https://youtu.be/nSb036-pfbs","channel 1")</f>
        <v>channel 1</v>
      </c>
    </row>
    <row r="18">
      <c r="B18" s="79" t="s">
        <v>1334</v>
      </c>
      <c r="C18" s="73" t="s">
        <v>1125</v>
      </c>
      <c r="D18" s="86" t="s">
        <v>697</v>
      </c>
      <c r="E18" s="66" t="str">
        <f>HYPERLINK("https://youtu.be/AU0ZCsbb_sI","channel 2")</f>
        <v>channel 2</v>
      </c>
    </row>
    <row r="19">
      <c r="B19" s="79" t="s">
        <v>1335</v>
      </c>
      <c r="C19" s="73" t="s">
        <v>145</v>
      </c>
      <c r="D19" s="86" t="s">
        <v>644</v>
      </c>
      <c r="E19" s="13" t="str">
        <f>HYPERLINK("https://youtu.be/uicKGXnEJ7U","channel 1")</f>
        <v>channel 1</v>
      </c>
    </row>
    <row r="20">
      <c r="B20" s="79" t="s">
        <v>1334</v>
      </c>
      <c r="C20" s="73" t="s">
        <v>1336</v>
      </c>
      <c r="D20" s="86" t="s">
        <v>996</v>
      </c>
      <c r="E20" s="66" t="str">
        <f>HYPERLINK("https://youtu.be/SVjBRo92Bg8","channel 2")</f>
        <v>channel 2</v>
      </c>
    </row>
    <row r="21">
      <c r="B21" s="79" t="s">
        <v>697</v>
      </c>
      <c r="C21" s="73" t="s">
        <v>82</v>
      </c>
      <c r="D21" s="86" t="s">
        <v>644</v>
      </c>
      <c r="E21" s="13" t="str">
        <f>HYPERLINK("https://youtu.be/ctXJWMIWCKs","channel 1")</f>
        <v>channel 1</v>
      </c>
    </row>
    <row r="22">
      <c r="B22" s="79" t="s">
        <v>1335</v>
      </c>
      <c r="C22" s="73" t="s">
        <v>257</v>
      </c>
      <c r="D22" s="86" t="s">
        <v>996</v>
      </c>
      <c r="E22" s="66" t="str">
        <f>HYPERLINK("https://youtu.be/EsIQvYfOS0g","channel 2")</f>
        <v>channel 2</v>
      </c>
    </row>
    <row r="23">
      <c r="B23" s="88" t="s">
        <v>1337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9" t="s">
        <v>1338</v>
      </c>
      <c r="C25" s="73" t="s">
        <v>347</v>
      </c>
      <c r="D25" s="86" t="s">
        <v>1339</v>
      </c>
      <c r="E25" s="13" t="str">
        <f>HYPERLINK("https://youtu.be/lKYzvsOXngk","channel 1")</f>
        <v>channel 1</v>
      </c>
    </row>
    <row r="26">
      <c r="B26" s="79" t="s">
        <v>1340</v>
      </c>
      <c r="C26" s="73" t="s">
        <v>59</v>
      </c>
      <c r="D26" s="86" t="s">
        <v>367</v>
      </c>
      <c r="E26" s="66" t="str">
        <f>HYPERLINK("https://youtu.be/F-CDj684eOw","channel 2")</f>
        <v>channel 2</v>
      </c>
    </row>
    <row r="27">
      <c r="B27" s="79" t="s">
        <v>1341</v>
      </c>
      <c r="C27" s="73" t="s">
        <v>1203</v>
      </c>
      <c r="D27" s="86" t="s">
        <v>1338</v>
      </c>
      <c r="E27" s="13" t="str">
        <f>HYPERLINK("https://youtu.be/DVr6_0M31ls","channel 1")</f>
        <v>channel 1</v>
      </c>
    </row>
    <row r="28">
      <c r="B28" s="79" t="s">
        <v>1340</v>
      </c>
      <c r="C28" s="73" t="s">
        <v>103</v>
      </c>
      <c r="D28" s="86" t="s">
        <v>1339</v>
      </c>
      <c r="E28" s="66" t="str">
        <f>HYPERLINK("https://youtu.be/GG_j-a4eYIc","channel 2")</f>
        <v>channel 2</v>
      </c>
    </row>
    <row r="29">
      <c r="B29" s="79" t="s">
        <v>1341</v>
      </c>
      <c r="C29" s="73" t="s">
        <v>47</v>
      </c>
      <c r="D29" s="86" t="s">
        <v>367</v>
      </c>
      <c r="E29" s="13" t="str">
        <f>HYPERLINK("https://youtu.be/x-8n-HlSiyw","channel 1")</f>
        <v>channel 1</v>
      </c>
    </row>
    <row r="30">
      <c r="B30" s="79" t="s">
        <v>1340</v>
      </c>
      <c r="C30" s="73" t="s">
        <v>84</v>
      </c>
      <c r="D30" s="86" t="s">
        <v>1338</v>
      </c>
      <c r="E30" s="66" t="str">
        <f>HYPERLINK("https://youtu.be/i56nM3xyvA4","channel 2")</f>
        <v>channel 2</v>
      </c>
    </row>
    <row r="31">
      <c r="B31" s="79" t="s">
        <v>1341</v>
      </c>
      <c r="C31" s="73" t="s">
        <v>46</v>
      </c>
      <c r="D31" s="86" t="s">
        <v>1339</v>
      </c>
      <c r="E31" s="13" t="str">
        <f>HYPERLINK("https://youtu.be/Im0af3e-Z1Q","channel 1")</f>
        <v>channel 1</v>
      </c>
    </row>
    <row r="32">
      <c r="B32" s="79" t="s">
        <v>367</v>
      </c>
      <c r="C32" s="73" t="s">
        <v>49</v>
      </c>
      <c r="D32" s="86" t="s">
        <v>1338</v>
      </c>
      <c r="E32" s="66" t="str">
        <f>HYPERLINK("https://youtu.be/NQvhTwdKAKQ","channel 2")</f>
        <v>channel 2</v>
      </c>
    </row>
    <row r="33">
      <c r="B33" s="79" t="s">
        <v>1341</v>
      </c>
      <c r="C33" s="73" t="s">
        <v>109</v>
      </c>
      <c r="D33" s="86" t="s">
        <v>1340</v>
      </c>
      <c r="E33" s="13" t="str">
        <f>HYPERLINK("https://youtu.be/D7qSTCeapl4","channel 1")</f>
        <v>channel 1</v>
      </c>
    </row>
    <row r="34">
      <c r="B34" s="79" t="s">
        <v>367</v>
      </c>
      <c r="C34" s="73" t="s">
        <v>57</v>
      </c>
      <c r="D34" s="86" t="s">
        <v>1339</v>
      </c>
      <c r="E34" s="66" t="str">
        <f>HYPERLINK("https://youtu.be/Q6IBP-Nc0T0","channel 2")</f>
        <v>channel 2</v>
      </c>
    </row>
    <row r="35">
      <c r="B35" s="79" t="s">
        <v>1339</v>
      </c>
      <c r="C35" s="73" t="s">
        <v>316</v>
      </c>
      <c r="D35" s="86" t="s">
        <v>1338</v>
      </c>
      <c r="E35" s="13" t="str">
        <f>HYPERLINK("https://youtu.be/-nH2vGaFf6Y","channel 1")</f>
        <v>channel 1</v>
      </c>
    </row>
    <row r="36">
      <c r="B36" s="79" t="s">
        <v>367</v>
      </c>
      <c r="C36" s="73" t="s">
        <v>10</v>
      </c>
      <c r="D36" s="86" t="s">
        <v>1340</v>
      </c>
      <c r="E36" s="66" t="str">
        <f>HYPERLINK("https://youtu.be/XMCDJBZrLyE","channel 2")</f>
        <v>channel 2</v>
      </c>
    </row>
    <row r="37">
      <c r="B37" s="79" t="s">
        <v>1338</v>
      </c>
      <c r="C37" s="73" t="s">
        <v>538</v>
      </c>
      <c r="D37" s="86" t="s">
        <v>1341</v>
      </c>
      <c r="E37" s="13" t="str">
        <f>HYPERLINK("https://youtu.be/U4O8vwrJ040","channel 1")</f>
        <v>channel 1</v>
      </c>
    </row>
    <row r="38">
      <c r="B38" s="79" t="s">
        <v>1339</v>
      </c>
      <c r="C38" s="73" t="s">
        <v>18</v>
      </c>
      <c r="D38" s="86" t="s">
        <v>1340</v>
      </c>
      <c r="E38" s="66" t="str">
        <f>HYPERLINK("https://youtu.be/pug33X4kJQw","channel 2")</f>
        <v>channel 2</v>
      </c>
    </row>
    <row r="39">
      <c r="B39" s="79" t="s">
        <v>367</v>
      </c>
      <c r="C39" s="73" t="s">
        <v>145</v>
      </c>
      <c r="D39" s="86" t="s">
        <v>1341</v>
      </c>
      <c r="E39" s="13" t="str">
        <f>HYPERLINK("https://youtu.be/vDtiR4CTdA0","channel 1")</f>
        <v>channel 1</v>
      </c>
    </row>
    <row r="40">
      <c r="B40" s="79" t="s">
        <v>1338</v>
      </c>
      <c r="C40" s="73" t="s">
        <v>27</v>
      </c>
      <c r="D40" s="86" t="s">
        <v>1340</v>
      </c>
      <c r="E40" s="66" t="str">
        <f>HYPERLINK("https://youtu.be/iJ336lcsPEU","channel 2")</f>
        <v>channel 2</v>
      </c>
    </row>
    <row r="41">
      <c r="B41" s="79" t="s">
        <v>1339</v>
      </c>
      <c r="C41" s="73" t="s">
        <v>281</v>
      </c>
      <c r="D41" s="86" t="s">
        <v>1341</v>
      </c>
      <c r="E41" s="13" t="str">
        <f>HYPERLINK("https://youtu.be/mTjmAly_jJA","channel 1")</f>
        <v>channel 1</v>
      </c>
    </row>
    <row r="42">
      <c r="B42" s="79" t="s">
        <v>1338</v>
      </c>
      <c r="C42" s="73" t="s">
        <v>277</v>
      </c>
      <c r="D42" s="86" t="s">
        <v>367</v>
      </c>
      <c r="E42" s="66" t="str">
        <f>HYPERLINK("https://youtu.be/30n4EbjanWo","channel 2")</f>
        <v>channel 2</v>
      </c>
    </row>
    <row r="43">
      <c r="B43" s="79" t="s">
        <v>1340</v>
      </c>
      <c r="C43" s="73" t="s">
        <v>10</v>
      </c>
      <c r="D43" s="86" t="s">
        <v>1341</v>
      </c>
      <c r="E43" s="13" t="str">
        <f>HYPERLINK("https://youtu.be/_Y9HMPCUTkk","channel 1")</f>
        <v>channel 1</v>
      </c>
    </row>
    <row r="44">
      <c r="B44" s="79" t="s">
        <v>1339</v>
      </c>
      <c r="C44" s="73" t="s">
        <v>142</v>
      </c>
      <c r="D44" s="86" t="s">
        <v>367</v>
      </c>
      <c r="E44" s="66" t="str">
        <f>HYPERLINK("https://youtu.be/l6qTM_Oap9I","channel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979</v>
      </c>
      <c r="C3" s="73" t="s">
        <v>383</v>
      </c>
      <c r="D3" s="74" t="s">
        <v>643</v>
      </c>
      <c r="E3" s="13" t="str">
        <f>HYPERLINK("https://youtu.be/1n1akq4Vf-A","channel 1")</f>
        <v>channel 1</v>
      </c>
    </row>
    <row r="4">
      <c r="B4" s="72" t="s">
        <v>1342</v>
      </c>
      <c r="C4" s="73" t="s">
        <v>337</v>
      </c>
      <c r="D4" s="74" t="s">
        <v>677</v>
      </c>
      <c r="E4" s="66" t="str">
        <f>HYPERLINK("https://youtu.be/NUYWdkiHsEE","channel 2")</f>
        <v>channel 2</v>
      </c>
    </row>
    <row r="5">
      <c r="B5" s="72" t="s">
        <v>980</v>
      </c>
      <c r="C5" s="73" t="s">
        <v>108</v>
      </c>
      <c r="D5" s="74" t="s">
        <v>979</v>
      </c>
      <c r="E5" s="13" t="str">
        <f>HYPERLINK("https://youtu.be/CzPL8rauWjI","channel 1")</f>
        <v>channel 1</v>
      </c>
    </row>
    <row r="6">
      <c r="B6" s="72" t="s">
        <v>1342</v>
      </c>
      <c r="C6" s="73" t="s">
        <v>160</v>
      </c>
      <c r="D6" s="74" t="s">
        <v>643</v>
      </c>
      <c r="E6" s="66" t="str">
        <f>HYPERLINK("https://youtu.be/pMFsoD1aQuM","channel 2")</f>
        <v>channel 2</v>
      </c>
    </row>
    <row r="7">
      <c r="B7" s="72" t="s">
        <v>980</v>
      </c>
      <c r="C7" s="73" t="s">
        <v>47</v>
      </c>
      <c r="D7" s="74" t="s">
        <v>677</v>
      </c>
      <c r="E7" s="13" t="str">
        <f>HYPERLINK("https://youtu.be/ufRL1JK5US0","channel 1")</f>
        <v>channel 1</v>
      </c>
    </row>
    <row r="8">
      <c r="B8" s="72" t="s">
        <v>1342</v>
      </c>
      <c r="C8" s="73" t="s">
        <v>106</v>
      </c>
      <c r="D8" s="74" t="s">
        <v>979</v>
      </c>
      <c r="E8" s="66" t="str">
        <f>HYPERLINK("https://youtu.be/Y-b6_wlkdfE","channel 2")</f>
        <v>channel 2</v>
      </c>
    </row>
    <row r="9">
      <c r="B9" s="72" t="s">
        <v>980</v>
      </c>
      <c r="C9" s="73" t="s">
        <v>85</v>
      </c>
      <c r="D9" s="74" t="s">
        <v>643</v>
      </c>
      <c r="E9" s="13" t="str">
        <f>HYPERLINK("https://youtu.be/4S_w_ffsQbA","channel 1")</f>
        <v>channel 1</v>
      </c>
    </row>
    <row r="10">
      <c r="B10" s="72" t="s">
        <v>677</v>
      </c>
      <c r="C10" s="73" t="s">
        <v>145</v>
      </c>
      <c r="D10" s="74" t="s">
        <v>979</v>
      </c>
      <c r="E10" s="66" t="str">
        <f>HYPERLINK("https://youtu.be/4yA15Vb8oOU","channel 2")</f>
        <v>channel 2</v>
      </c>
    </row>
    <row r="11">
      <c r="B11" s="72" t="s">
        <v>980</v>
      </c>
      <c r="C11" s="73" t="s">
        <v>277</v>
      </c>
      <c r="D11" s="74" t="s">
        <v>1342</v>
      </c>
      <c r="E11" s="13" t="str">
        <f>HYPERLINK("https://youtu.be/UQv7liBml6Q","channel 1")</f>
        <v>channel 1</v>
      </c>
    </row>
    <row r="12">
      <c r="B12" s="72" t="s">
        <v>677</v>
      </c>
      <c r="C12" s="73" t="s">
        <v>77</v>
      </c>
      <c r="D12" s="74" t="s">
        <v>643</v>
      </c>
      <c r="E12" s="66" t="str">
        <f>HYPERLINK("https://youtu.be/Yo3eq_-T9M4","channel 2")</f>
        <v>channel 2</v>
      </c>
    </row>
    <row r="13">
      <c r="B13" s="72" t="s">
        <v>643</v>
      </c>
      <c r="C13" s="73" t="s">
        <v>84</v>
      </c>
      <c r="D13" s="74" t="s">
        <v>979</v>
      </c>
      <c r="E13" s="13" t="str">
        <f>HYPERLINK("https://youtu.be/TtxMQCesCyo","channel 1")</f>
        <v>channel 1</v>
      </c>
    </row>
    <row r="14">
      <c r="B14" s="72" t="s">
        <v>677</v>
      </c>
      <c r="C14" s="73" t="s">
        <v>32</v>
      </c>
      <c r="D14" s="74" t="s">
        <v>1342</v>
      </c>
      <c r="E14" s="66" t="str">
        <f>HYPERLINK("https://youtu.be/g-wLkrnQjqU","channel 2")</f>
        <v>channel 2</v>
      </c>
    </row>
    <row r="15">
      <c r="B15" s="72" t="s">
        <v>979</v>
      </c>
      <c r="C15" s="73" t="s">
        <v>569</v>
      </c>
      <c r="D15" s="74" t="s">
        <v>980</v>
      </c>
      <c r="E15" s="13" t="str">
        <f>HYPERLINK("https://youtu.be/6VON4MwhVpQ","channel 1")</f>
        <v>channel 1</v>
      </c>
    </row>
    <row r="16">
      <c r="B16" s="72" t="s">
        <v>643</v>
      </c>
      <c r="C16" s="73" t="s">
        <v>124</v>
      </c>
      <c r="D16" s="74" t="s">
        <v>1342</v>
      </c>
      <c r="E16" s="66" t="str">
        <f>HYPERLINK("https://youtu.be/O7FEcnh-jR0","channel 2")</f>
        <v>channel 2</v>
      </c>
    </row>
    <row r="17">
      <c r="B17" s="72" t="s">
        <v>677</v>
      </c>
      <c r="C17" s="73" t="s">
        <v>522</v>
      </c>
      <c r="D17" s="74" t="s">
        <v>980</v>
      </c>
      <c r="E17" s="13" t="str">
        <f>HYPERLINK("https://youtu.be/-Ep-ZQfCN9M","channel 1")</f>
        <v>channel 1</v>
      </c>
    </row>
    <row r="18">
      <c r="B18" s="72" t="s">
        <v>979</v>
      </c>
      <c r="C18" s="73" t="s">
        <v>61</v>
      </c>
      <c r="D18" s="74" t="s">
        <v>1342</v>
      </c>
      <c r="E18" s="66" t="str">
        <f>HYPERLINK("https://youtu.be/PrkuNzmILE8","channel 2")</f>
        <v>channel 2</v>
      </c>
    </row>
    <row r="19">
      <c r="B19" s="72" t="s">
        <v>643</v>
      </c>
      <c r="C19" s="73" t="s">
        <v>340</v>
      </c>
      <c r="D19" s="74" t="s">
        <v>980</v>
      </c>
      <c r="E19" s="13" t="str">
        <f>HYPERLINK("https://youtu.be/-3AYOX-PTQc","channel 1")</f>
        <v>channel 1</v>
      </c>
    </row>
    <row r="20">
      <c r="B20" s="72" t="s">
        <v>979</v>
      </c>
      <c r="C20" s="73" t="s">
        <v>24</v>
      </c>
      <c r="D20" s="74" t="s">
        <v>677</v>
      </c>
      <c r="E20" s="66" t="str">
        <f>HYPERLINK("https://youtu.be/FpYoekq25RE","channel 2")</f>
        <v>channel 2</v>
      </c>
    </row>
    <row r="21">
      <c r="B21" s="72" t="s">
        <v>1342</v>
      </c>
      <c r="C21" s="73" t="s">
        <v>211</v>
      </c>
      <c r="D21" s="74" t="s">
        <v>980</v>
      </c>
      <c r="E21" s="13" t="str">
        <f>HYPERLINK("https://youtu.be/kNcW3ssf3pA","channel 1")</f>
        <v>channel 1</v>
      </c>
    </row>
    <row r="22">
      <c r="B22" s="72" t="s">
        <v>643</v>
      </c>
      <c r="C22" s="73" t="s">
        <v>145</v>
      </c>
      <c r="D22" s="74" t="s">
        <v>677</v>
      </c>
      <c r="E22" s="66" t="str">
        <f>HYPERLINK("https://youtu.be/Y66BjmtQ458","channel 2")</f>
        <v>channel 2</v>
      </c>
    </row>
    <row r="23">
      <c r="B23" s="88" t="s">
        <v>1343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1344</v>
      </c>
      <c r="C25" s="73" t="s">
        <v>278</v>
      </c>
      <c r="D25" s="74" t="s">
        <v>1345</v>
      </c>
      <c r="E25" s="13" t="str">
        <f>HYPERLINK("https://youtu.be/-a6vRUlRH_Q","channel 1")</f>
        <v>channel 1</v>
      </c>
    </row>
    <row r="26">
      <c r="B26" s="72" t="s">
        <v>1346</v>
      </c>
      <c r="C26" s="73" t="s">
        <v>37</v>
      </c>
      <c r="D26" s="74" t="s">
        <v>1347</v>
      </c>
      <c r="E26" s="66" t="str">
        <f>HYPERLINK("https://youtu.be/WJj1rkUdn3o","channel 2")</f>
        <v>channel 2</v>
      </c>
    </row>
    <row r="27">
      <c r="B27" s="72" t="s">
        <v>709</v>
      </c>
      <c r="C27" s="73" t="s">
        <v>160</v>
      </c>
      <c r="D27" s="74" t="s">
        <v>1344</v>
      </c>
      <c r="E27" s="13" t="str">
        <f>HYPERLINK("https://youtu.be/EnTBUy6Z5_Q","channel 1")</f>
        <v>channel 1</v>
      </c>
    </row>
    <row r="28">
      <c r="B28" s="72" t="s">
        <v>1346</v>
      </c>
      <c r="C28" s="73" t="s">
        <v>30</v>
      </c>
      <c r="D28" s="74" t="s">
        <v>1345</v>
      </c>
      <c r="E28" s="66" t="str">
        <f>HYPERLINK("https://youtu.be/mQpzxaQ6KH0","channel 2")</f>
        <v>channel 2</v>
      </c>
    </row>
    <row r="29">
      <c r="B29" s="72" t="s">
        <v>709</v>
      </c>
      <c r="C29" s="73" t="s">
        <v>59</v>
      </c>
      <c r="D29" s="74" t="s">
        <v>1347</v>
      </c>
      <c r="E29" s="13" t="str">
        <f>HYPERLINK("https://youtu.be/lBI-eXKIx9g","channel 1")</f>
        <v>channel 1</v>
      </c>
    </row>
    <row r="30">
      <c r="B30" s="72" t="s">
        <v>1346</v>
      </c>
      <c r="C30" s="73" t="s">
        <v>1348</v>
      </c>
      <c r="D30" s="74" t="s">
        <v>1344</v>
      </c>
      <c r="E30" s="66" t="str">
        <f>HYPERLINK("https://youtu.be/07hC3IPP5zc","channel 2")</f>
        <v>channel 2</v>
      </c>
    </row>
    <row r="31">
      <c r="B31" s="72" t="s">
        <v>709</v>
      </c>
      <c r="C31" s="73" t="s">
        <v>180</v>
      </c>
      <c r="D31" s="74" t="s">
        <v>1345</v>
      </c>
      <c r="E31" s="13" t="str">
        <f>HYPERLINK("https://youtu.be/SRUWKpSHiAg","channel 1")</f>
        <v>channel 1</v>
      </c>
    </row>
    <row r="32">
      <c r="B32" s="72" t="s">
        <v>1347</v>
      </c>
      <c r="C32" s="73" t="s">
        <v>32</v>
      </c>
      <c r="D32" s="74" t="s">
        <v>1344</v>
      </c>
      <c r="E32" s="66" t="str">
        <f>HYPERLINK("https://youtu.be/gyMaUgstL2o","channel 2")</f>
        <v>channel 2</v>
      </c>
    </row>
    <row r="33">
      <c r="B33" s="72" t="s">
        <v>709</v>
      </c>
      <c r="C33" s="73" t="s">
        <v>142</v>
      </c>
      <c r="D33" s="74" t="s">
        <v>1346</v>
      </c>
      <c r="E33" s="13" t="str">
        <f>HYPERLINK("https://youtu.be/Q2bdNfQoeS4","channel 1")</f>
        <v>channel 1</v>
      </c>
    </row>
    <row r="34">
      <c r="B34" s="72" t="s">
        <v>1347</v>
      </c>
      <c r="C34" s="73" t="s">
        <v>46</v>
      </c>
      <c r="D34" s="74" t="s">
        <v>1345</v>
      </c>
      <c r="E34" s="66" t="str">
        <f>HYPERLINK("https://youtu.be/gjTf_FoZ_r4","channel 2")</f>
        <v>channel 2</v>
      </c>
    </row>
    <row r="35">
      <c r="B35" s="72" t="s">
        <v>1345</v>
      </c>
      <c r="C35" s="73" t="s">
        <v>124</v>
      </c>
      <c r="D35" s="74" t="s">
        <v>1344</v>
      </c>
      <c r="E35" s="13" t="str">
        <f>HYPERLINK("https://youtu.be/xApnW5GwGJY","channel 1")</f>
        <v>channel 1</v>
      </c>
    </row>
    <row r="36">
      <c r="B36" s="72" t="s">
        <v>1347</v>
      </c>
      <c r="C36" s="73" t="s">
        <v>204</v>
      </c>
      <c r="D36" s="74" t="s">
        <v>1346</v>
      </c>
      <c r="E36" s="66" t="str">
        <f>HYPERLINK("https://youtu.be/BGb_FiwWBR4","channel 2")</f>
        <v>channel 2</v>
      </c>
    </row>
    <row r="37">
      <c r="B37" s="72" t="s">
        <v>1344</v>
      </c>
      <c r="C37" s="73" t="s">
        <v>97</v>
      </c>
      <c r="D37" s="74" t="s">
        <v>709</v>
      </c>
      <c r="E37" s="13" t="str">
        <f>HYPERLINK("https://youtu.be/LgztjjYoXyM","channel 1")</f>
        <v>channel 1</v>
      </c>
    </row>
    <row r="38">
      <c r="B38" s="72" t="s">
        <v>1345</v>
      </c>
      <c r="C38" s="73" t="s">
        <v>111</v>
      </c>
      <c r="D38" s="74" t="s">
        <v>1346</v>
      </c>
      <c r="E38" s="66" t="str">
        <f>HYPERLINK("https://youtu.be/wxK6HWP6oY4","channel 2")</f>
        <v>channel 2</v>
      </c>
    </row>
    <row r="39">
      <c r="B39" s="72" t="s">
        <v>1347</v>
      </c>
      <c r="C39" s="73" t="s">
        <v>184</v>
      </c>
      <c r="D39" s="74" t="s">
        <v>709</v>
      </c>
      <c r="E39" s="13" t="str">
        <f>HYPERLINK("https://youtu.be/Zi99ZGguRrY","channel 1")</f>
        <v>channel 1</v>
      </c>
    </row>
    <row r="40">
      <c r="B40" s="72" t="s">
        <v>1344</v>
      </c>
      <c r="C40" s="73" t="s">
        <v>35</v>
      </c>
      <c r="D40" s="74" t="s">
        <v>1346</v>
      </c>
      <c r="E40" s="66" t="str">
        <f>HYPERLINK("https://youtu.be/YsPRTzYtwBk","channel 2")</f>
        <v>channel 2</v>
      </c>
    </row>
    <row r="41">
      <c r="B41" s="72" t="s">
        <v>1345</v>
      </c>
      <c r="C41" s="73" t="s">
        <v>538</v>
      </c>
      <c r="D41" s="74" t="s">
        <v>709</v>
      </c>
      <c r="E41" s="13" t="str">
        <f>HYPERLINK("https://youtu.be/3NUwoUzD_sk","channel 1")</f>
        <v>channel 1</v>
      </c>
    </row>
    <row r="42">
      <c r="B42" s="72" t="s">
        <v>1344</v>
      </c>
      <c r="C42" s="73" t="s">
        <v>10</v>
      </c>
      <c r="D42" s="74" t="s">
        <v>1347</v>
      </c>
      <c r="E42" s="66" t="str">
        <f>HYPERLINK("https://youtu.be/IhDjcrd2bLM","channel 2")</f>
        <v>channel 2</v>
      </c>
    </row>
    <row r="43">
      <c r="B43" s="72" t="s">
        <v>1346</v>
      </c>
      <c r="C43" s="73" t="s">
        <v>108</v>
      </c>
      <c r="D43" s="74" t="s">
        <v>709</v>
      </c>
      <c r="E43" s="13" t="str">
        <f>HYPERLINK("https://youtu.be/p4lEjcl_5eQ","channel 1")</f>
        <v>channel 1</v>
      </c>
    </row>
    <row r="44">
      <c r="B44" s="72" t="s">
        <v>1345</v>
      </c>
      <c r="C44" s="73" t="s">
        <v>146</v>
      </c>
      <c r="D44" s="74" t="s">
        <v>1347</v>
      </c>
      <c r="E44" s="66" t="str">
        <f>HYPERLINK("https://youtu.be/AIMVjkpmLWA","channel 2")</f>
        <v>channel 2</v>
      </c>
    </row>
    <row r="45">
      <c r="B45" s="88" t="s">
        <v>112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1201</v>
      </c>
      <c r="C47" s="73" t="s">
        <v>18</v>
      </c>
      <c r="D47" s="74" t="s">
        <v>1042</v>
      </c>
      <c r="E47" s="13" t="str">
        <f>HYPERLINK("https://youtu.be/vwoO2ZIpmcM","channel 1")</f>
        <v>channel 1</v>
      </c>
    </row>
    <row r="48">
      <c r="B48" s="72" t="s">
        <v>582</v>
      </c>
      <c r="C48" s="73" t="s">
        <v>34</v>
      </c>
      <c r="D48" s="74" t="s">
        <v>587</v>
      </c>
      <c r="E48" s="66" t="str">
        <f>HYPERLINK("https://youtu.be/1AuB8upFy-0","channel 2")</f>
        <v>channel 2</v>
      </c>
    </row>
    <row r="49">
      <c r="B49" s="72" t="s">
        <v>1288</v>
      </c>
      <c r="C49" s="73" t="s">
        <v>442</v>
      </c>
      <c r="D49" s="74" t="s">
        <v>1201</v>
      </c>
      <c r="E49" s="13" t="str">
        <f>HYPERLINK("https://youtu.be/hvJ9oaht77g","channel 1")</f>
        <v>channel 1</v>
      </c>
    </row>
    <row r="50">
      <c r="B50" s="72" t="s">
        <v>582</v>
      </c>
      <c r="C50" s="73" t="s">
        <v>32</v>
      </c>
      <c r="D50" s="74" t="s">
        <v>1042</v>
      </c>
      <c r="E50" s="66" t="str">
        <f>HYPERLINK("https://youtu.be/90_NhXGDrNA","channel 2")</f>
        <v>channel 2</v>
      </c>
    </row>
    <row r="51">
      <c r="B51" s="72" t="s">
        <v>1288</v>
      </c>
      <c r="C51" s="73" t="s">
        <v>77</v>
      </c>
      <c r="D51" s="74" t="s">
        <v>587</v>
      </c>
      <c r="E51" s="23" t="s">
        <v>26</v>
      </c>
    </row>
    <row r="52">
      <c r="B52" s="72" t="s">
        <v>582</v>
      </c>
      <c r="C52" s="73" t="s">
        <v>10</v>
      </c>
      <c r="D52" s="74" t="s">
        <v>1201</v>
      </c>
      <c r="E52" s="66" t="str">
        <f>HYPERLINK("https://youtu.be/Z2dfAqrEens","channel 2")</f>
        <v>channel 2</v>
      </c>
    </row>
    <row r="53">
      <c r="B53" s="72" t="s">
        <v>1288</v>
      </c>
      <c r="C53" s="73" t="s">
        <v>24</v>
      </c>
      <c r="D53" s="74" t="s">
        <v>1042</v>
      </c>
      <c r="E53" s="13" t="str">
        <f>HYPERLINK("https://youtu.be/Y3PoOvWG6Xw","channel 1")</f>
        <v>channel 1</v>
      </c>
    </row>
    <row r="54">
      <c r="B54" s="72" t="s">
        <v>587</v>
      </c>
      <c r="C54" s="73" t="s">
        <v>10</v>
      </c>
      <c r="D54" s="74" t="s">
        <v>1201</v>
      </c>
      <c r="E54" s="66" t="str">
        <f>HYPERLINK("https://youtu.be/1Go9SLk51Dg","channel 2")</f>
        <v>channel 2</v>
      </c>
    </row>
    <row r="55">
      <c r="B55" s="72" t="s">
        <v>1288</v>
      </c>
      <c r="C55" s="73" t="s">
        <v>179</v>
      </c>
      <c r="D55" s="74" t="s">
        <v>582</v>
      </c>
      <c r="E55" s="13" t="str">
        <f>HYPERLINK("https://youtu.be/gLYcInaRwEk","channel 1")</f>
        <v>channel 1</v>
      </c>
    </row>
    <row r="56">
      <c r="B56" s="72" t="s">
        <v>587</v>
      </c>
      <c r="C56" s="73" t="s">
        <v>237</v>
      </c>
      <c r="D56" s="74" t="s">
        <v>1042</v>
      </c>
      <c r="E56" s="66" t="str">
        <f>HYPERLINK("https://youtu.be/hxmJ4U31Ajg","channel 2")</f>
        <v>channel 2</v>
      </c>
    </row>
    <row r="57">
      <c r="B57" s="72" t="s">
        <v>1042</v>
      </c>
      <c r="C57" s="73" t="s">
        <v>34</v>
      </c>
      <c r="D57" s="74" t="s">
        <v>1201</v>
      </c>
      <c r="E57" s="13" t="str">
        <f>HYPERLINK("https://youtu.be/SqjEs5SU5F4","channel 1")</f>
        <v>channel 1</v>
      </c>
    </row>
    <row r="58">
      <c r="B58" s="72" t="s">
        <v>587</v>
      </c>
      <c r="C58" s="73" t="s">
        <v>141</v>
      </c>
      <c r="D58" s="74" t="s">
        <v>582</v>
      </c>
      <c r="E58" s="66" t="str">
        <f>HYPERLINK("https://youtu.be/6Jlvy4a_hdI","channel 2")</f>
        <v>channel 2</v>
      </c>
    </row>
    <row r="59">
      <c r="B59" s="72" t="s">
        <v>1201</v>
      </c>
      <c r="C59" s="73" t="s">
        <v>59</v>
      </c>
      <c r="D59" s="74" t="s">
        <v>1288</v>
      </c>
      <c r="E59" s="13" t="str">
        <f>HYPERLINK("https://youtu.be/c6WF-wF-8HQ","channel 1")</f>
        <v>channel 1</v>
      </c>
    </row>
    <row r="60">
      <c r="B60" s="72" t="s">
        <v>1042</v>
      </c>
      <c r="C60" s="73" t="s">
        <v>277</v>
      </c>
      <c r="D60" s="74" t="s">
        <v>582</v>
      </c>
      <c r="E60" s="66" t="str">
        <f>HYPERLINK("https://youtu.be/kb201UOya3I","channel 2")</f>
        <v>channel 2</v>
      </c>
    </row>
    <row r="61">
      <c r="B61" s="72" t="s">
        <v>587</v>
      </c>
      <c r="C61" s="73" t="s">
        <v>113</v>
      </c>
      <c r="D61" s="74" t="s">
        <v>1288</v>
      </c>
      <c r="E61" s="13" t="str">
        <f>HYPERLINK("https://youtu.be/TCI54nCfcZ4","channel 1")</f>
        <v>channel 1</v>
      </c>
    </row>
    <row r="62">
      <c r="B62" s="72" t="s">
        <v>1201</v>
      </c>
      <c r="C62" s="73" t="s">
        <v>232</v>
      </c>
      <c r="D62" s="74" t="s">
        <v>582</v>
      </c>
      <c r="E62" s="66" t="str">
        <f>HYPERLINK("https://youtu.be/vOjFEhk-7N4","channel 2")</f>
        <v>channel 2</v>
      </c>
    </row>
    <row r="63">
      <c r="B63" s="72" t="s">
        <v>1042</v>
      </c>
      <c r="C63" s="73" t="s">
        <v>477</v>
      </c>
      <c r="D63" s="74" t="s">
        <v>1288</v>
      </c>
      <c r="E63" s="13" t="str">
        <f>HYPERLINK("https://youtu.be/VbeE4UbAtk4","channel 1")</f>
        <v>channel 1</v>
      </c>
    </row>
    <row r="64">
      <c r="B64" s="72" t="s">
        <v>1201</v>
      </c>
      <c r="C64" s="73" t="s">
        <v>223</v>
      </c>
      <c r="D64" s="74" t="s">
        <v>587</v>
      </c>
      <c r="E64" s="66" t="str">
        <f>HYPERLINK("https://youtu.be/sQhqulAuScI","channel 2")</f>
        <v>channel 2</v>
      </c>
    </row>
    <row r="65">
      <c r="B65" s="72" t="s">
        <v>582</v>
      </c>
      <c r="C65" s="73" t="s">
        <v>42</v>
      </c>
      <c r="D65" s="74" t="s">
        <v>1288</v>
      </c>
      <c r="E65" s="13" t="str">
        <f>HYPERLINK("https://youtu.be/V1enpbYWYh4","channel 1")</f>
        <v>channel 1</v>
      </c>
    </row>
    <row r="66">
      <c r="B66" s="72" t="s">
        <v>1042</v>
      </c>
      <c r="C66" s="73" t="s">
        <v>103</v>
      </c>
      <c r="D66" s="74" t="s">
        <v>587</v>
      </c>
      <c r="E66" s="66" t="str">
        <f>HYPERLINK("https://youtu.be/vopy8yEmveI","channel 2")</f>
        <v>channel 2</v>
      </c>
    </row>
    <row r="67">
      <c r="B67" s="88" t="s">
        <v>1150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1351</v>
      </c>
      <c r="C69" s="73" t="s">
        <v>144</v>
      </c>
      <c r="D69" s="74" t="s">
        <v>162</v>
      </c>
      <c r="E69" s="13" t="str">
        <f>HYPERLINK("https://youtu.be/6bTITrIeXRk","channel 1")</f>
        <v>channel 1</v>
      </c>
    </row>
    <row r="70">
      <c r="B70" s="72" t="s">
        <v>808</v>
      </c>
      <c r="C70" s="73" t="s">
        <v>759</v>
      </c>
      <c r="D70" s="74" t="s">
        <v>1352</v>
      </c>
      <c r="E70" s="66" t="str">
        <f>HYPERLINK("https://youtu.be/ZI0L0dlZtoI","channel 2")</f>
        <v>channel 2</v>
      </c>
    </row>
    <row r="71">
      <c r="B71" s="72" t="s">
        <v>1353</v>
      </c>
      <c r="C71" s="73" t="s">
        <v>10</v>
      </c>
      <c r="D71" s="74" t="s">
        <v>1351</v>
      </c>
      <c r="E71" s="13" t="str">
        <f>HYPERLINK("https://youtu.be/TV6So5av8Wg","channel 1")</f>
        <v>channel 1</v>
      </c>
    </row>
    <row r="72">
      <c r="B72" s="72" t="s">
        <v>808</v>
      </c>
      <c r="C72" s="73" t="s">
        <v>228</v>
      </c>
      <c r="D72" s="74" t="s">
        <v>162</v>
      </c>
      <c r="E72" s="66" t="str">
        <f>HYPERLINK("https://youtu.be/PeEYv8c4wBs","channel 2")</f>
        <v>channel 2</v>
      </c>
    </row>
    <row r="73">
      <c r="B73" s="72" t="s">
        <v>1353</v>
      </c>
      <c r="C73" s="73" t="s">
        <v>436</v>
      </c>
      <c r="D73" s="74" t="s">
        <v>1352</v>
      </c>
      <c r="E73" s="13" t="str">
        <f>HYPERLINK("https://youtu.be/yg6aqfooOPo","channel 1")</f>
        <v>channel 1</v>
      </c>
    </row>
    <row r="74">
      <c r="B74" s="72" t="s">
        <v>808</v>
      </c>
      <c r="C74" s="73" t="s">
        <v>32</v>
      </c>
      <c r="D74" s="74" t="s">
        <v>1351</v>
      </c>
      <c r="E74" s="66" t="str">
        <f>HYPERLINK("https://youtu.be/PJIEqiBejK8","channel 2")</f>
        <v>channel 2</v>
      </c>
    </row>
    <row r="75">
      <c r="B75" s="72" t="s">
        <v>1353</v>
      </c>
      <c r="C75" s="73" t="s">
        <v>49</v>
      </c>
      <c r="D75" s="74" t="s">
        <v>162</v>
      </c>
      <c r="E75" s="13" t="str">
        <f>HYPERLINK("https://youtu.be/HBUjzp7SrQM","channel 1")</f>
        <v>channel 1</v>
      </c>
    </row>
    <row r="76">
      <c r="B76" s="72" t="s">
        <v>1352</v>
      </c>
      <c r="C76" s="73" t="s">
        <v>18</v>
      </c>
      <c r="D76" s="74" t="s">
        <v>1351</v>
      </c>
      <c r="E76" s="66" t="str">
        <f>HYPERLINK("https://youtu.be/aXX3-7ae_DQ","channel 2")</f>
        <v>channel 2</v>
      </c>
    </row>
    <row r="77">
      <c r="B77" s="72" t="s">
        <v>1353</v>
      </c>
      <c r="C77" s="73" t="s">
        <v>918</v>
      </c>
      <c r="D77" s="74" t="s">
        <v>808</v>
      </c>
      <c r="E77" s="13" t="str">
        <f>HYPERLINK("https://youtu.be/p68pfRpqW0w","channel 1")</f>
        <v>channel 1</v>
      </c>
    </row>
    <row r="78">
      <c r="B78" s="72" t="s">
        <v>1352</v>
      </c>
      <c r="C78" s="73" t="s">
        <v>85</v>
      </c>
      <c r="D78" s="74" t="s">
        <v>162</v>
      </c>
      <c r="E78" s="66" t="str">
        <f>HYPERLINK("https://youtu.be/4MvhqJBk4_A","channel 2")</f>
        <v>channel 2</v>
      </c>
    </row>
    <row r="79">
      <c r="B79" s="72" t="s">
        <v>162</v>
      </c>
      <c r="C79" s="73" t="s">
        <v>47</v>
      </c>
      <c r="D79" s="74" t="s">
        <v>1351</v>
      </c>
      <c r="E79" s="13" t="str">
        <f>HYPERLINK("https://youtu.be/B20nJzvokiQ","channel 1")</f>
        <v>channel 1</v>
      </c>
    </row>
    <row r="80">
      <c r="B80" s="72" t="s">
        <v>1352</v>
      </c>
      <c r="C80" s="73" t="s">
        <v>10</v>
      </c>
      <c r="D80" s="74" t="s">
        <v>808</v>
      </c>
      <c r="E80" s="66" t="str">
        <f>HYPERLINK("https://youtu.be/e4DIuul9UQw","channel 2")</f>
        <v>channel 2</v>
      </c>
    </row>
    <row r="81">
      <c r="B81" s="72" t="s">
        <v>1351</v>
      </c>
      <c r="C81" s="73" t="s">
        <v>157</v>
      </c>
      <c r="D81" s="74" t="s">
        <v>1353</v>
      </c>
      <c r="E81" s="13" t="str">
        <f>HYPERLINK("https://youtu.be/1DB-AS-dDZw","channel 1")</f>
        <v>channel 1</v>
      </c>
    </row>
    <row r="82">
      <c r="B82" s="72" t="s">
        <v>162</v>
      </c>
      <c r="C82" s="73" t="s">
        <v>102</v>
      </c>
      <c r="D82" s="74" t="s">
        <v>808</v>
      </c>
      <c r="E82" s="66" t="str">
        <f>HYPERLINK("https://youtu.be/YKlxOFv9Ubw","channel 2")</f>
        <v>channel 2</v>
      </c>
    </row>
    <row r="83">
      <c r="B83" s="72" t="s">
        <v>1352</v>
      </c>
      <c r="C83" s="73" t="s">
        <v>214</v>
      </c>
      <c r="D83" s="74" t="s">
        <v>1353</v>
      </c>
      <c r="E83" s="13" t="str">
        <f>HYPERLINK("https://youtu.be/77Vv6-XG2aM","channel 1")</f>
        <v>channel 1</v>
      </c>
    </row>
    <row r="84">
      <c r="B84" s="72" t="s">
        <v>1351</v>
      </c>
      <c r="C84" s="73" t="s">
        <v>117</v>
      </c>
      <c r="D84" s="74" t="s">
        <v>808</v>
      </c>
      <c r="E84" s="66" t="str">
        <f>HYPERLINK("https://youtu.be/ynRYchAoKwk","channel 2")</f>
        <v>channel 2</v>
      </c>
    </row>
    <row r="85">
      <c r="B85" s="72" t="s">
        <v>162</v>
      </c>
      <c r="C85" s="73" t="s">
        <v>750</v>
      </c>
      <c r="D85" s="74" t="s">
        <v>1353</v>
      </c>
      <c r="E85" s="13" t="str">
        <f>HYPERLINK("https://youtu.be/KGJpz755P4E","channel 1")</f>
        <v>channel 1</v>
      </c>
    </row>
    <row r="86">
      <c r="B86" s="72" t="s">
        <v>1351</v>
      </c>
      <c r="C86" s="73" t="s">
        <v>328</v>
      </c>
      <c r="D86" s="74" t="s">
        <v>1352</v>
      </c>
      <c r="E86" s="66" t="str">
        <f>HYPERLINK("https://youtu.be/Kh3hZaZkL6Y","channel 2")</f>
        <v>channel 2</v>
      </c>
    </row>
    <row r="87">
      <c r="B87" s="72" t="s">
        <v>808</v>
      </c>
      <c r="C87" s="73" t="s">
        <v>392</v>
      </c>
      <c r="D87" s="74" t="s">
        <v>1353</v>
      </c>
      <c r="E87" s="13" t="str">
        <f>HYPERLINK("https://youtu.be/LQGwVv7sdEU","channel 1")</f>
        <v>channel 1</v>
      </c>
    </row>
    <row r="88">
      <c r="B88" s="72" t="s">
        <v>162</v>
      </c>
      <c r="C88" s="73" t="s">
        <v>30</v>
      </c>
      <c r="D88" s="74" t="s">
        <v>1352</v>
      </c>
      <c r="E88" s="66" t="str">
        <f>HYPERLINK("https://youtu.be/kjaUcejKUhQ","channel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1349</v>
      </c>
      <c r="C3" s="70" t="s">
        <v>74</v>
      </c>
      <c r="D3" s="71" t="s">
        <v>1350</v>
      </c>
      <c r="E3" s="13" t="str">
        <f>HYPERLINK("https://youtu.be/EFDtlCxc0PM","channel 1")</f>
        <v>channel 1</v>
      </c>
    </row>
    <row r="4">
      <c r="B4" s="72" t="s">
        <v>1226</v>
      </c>
      <c r="C4" s="73" t="s">
        <v>212</v>
      </c>
      <c r="D4" s="74" t="s">
        <v>1006</v>
      </c>
      <c r="E4" s="66" t="str">
        <f>HYPERLINK("https://youtu.be/dm7MhEh3zsw","channel 2")</f>
        <v>channel 2</v>
      </c>
    </row>
    <row r="5">
      <c r="B5" s="72" t="s">
        <v>1009</v>
      </c>
      <c r="C5" s="73" t="s">
        <v>90</v>
      </c>
      <c r="D5" s="74" t="s">
        <v>1349</v>
      </c>
      <c r="E5" s="13" t="str">
        <f>HYPERLINK("https://youtu.be/cqAPbP45MA4","channel 1")</f>
        <v>channel 1</v>
      </c>
    </row>
    <row r="6">
      <c r="B6" s="72" t="s">
        <v>1226</v>
      </c>
      <c r="C6" s="73" t="s">
        <v>84</v>
      </c>
      <c r="D6" s="74" t="s">
        <v>1350</v>
      </c>
      <c r="E6" s="66" t="str">
        <f>HYPERLINK("https://youtu.be/KZLI3iXZ4UY","channel 2")</f>
        <v>channel 2</v>
      </c>
    </row>
    <row r="7">
      <c r="B7" s="72" t="s">
        <v>1009</v>
      </c>
      <c r="C7" s="73" t="s">
        <v>59</v>
      </c>
      <c r="D7" s="74" t="s">
        <v>1006</v>
      </c>
      <c r="E7" s="13" t="str">
        <f>HYPERLINK("https://youtu.be/M52qlISEMRc","channel 1")</f>
        <v>channel 1</v>
      </c>
    </row>
    <row r="8">
      <c r="B8" s="72" t="s">
        <v>1226</v>
      </c>
      <c r="C8" s="73" t="s">
        <v>138</v>
      </c>
      <c r="D8" s="74" t="s">
        <v>1349</v>
      </c>
      <c r="E8" s="66" t="str">
        <f>HYPERLINK("https://youtu.be/F5Qx-1iZCtw","channel 2")</f>
        <v>channel 2</v>
      </c>
    </row>
    <row r="9">
      <c r="B9" s="72" t="s">
        <v>1009</v>
      </c>
      <c r="C9" s="73" t="s">
        <v>59</v>
      </c>
      <c r="D9" s="74" t="s">
        <v>1350</v>
      </c>
      <c r="E9" s="13" t="str">
        <f>HYPERLINK("https://youtu.be/s6FgR4GTyr0","channel 1")</f>
        <v>channel 1</v>
      </c>
    </row>
    <row r="10">
      <c r="B10" s="72" t="s">
        <v>1006</v>
      </c>
      <c r="C10" s="73" t="s">
        <v>32</v>
      </c>
      <c r="D10" s="74" t="s">
        <v>1349</v>
      </c>
      <c r="E10" s="66" t="str">
        <f>HYPERLINK("https://youtu.be/NWzpitwDe0I","channel 2")</f>
        <v>channel 2</v>
      </c>
    </row>
    <row r="11">
      <c r="B11" s="72" t="s">
        <v>1009</v>
      </c>
      <c r="C11" s="73" t="s">
        <v>226</v>
      </c>
      <c r="D11" s="74" t="s">
        <v>1226</v>
      </c>
      <c r="E11" s="13" t="str">
        <f>HYPERLINK("https://youtu.be/5b8jHvf_-Mo","channel 1")</f>
        <v>channel 1</v>
      </c>
    </row>
    <row r="12">
      <c r="B12" s="72" t="s">
        <v>1006</v>
      </c>
      <c r="C12" s="73" t="s">
        <v>322</v>
      </c>
      <c r="D12" s="74" t="s">
        <v>1350</v>
      </c>
      <c r="E12" s="66" t="str">
        <f>HYPERLINK("https://youtu.be/ttnSxrc_Qeo","channel 2")</f>
        <v>channel 2</v>
      </c>
    </row>
    <row r="13">
      <c r="B13" s="72" t="s">
        <v>1350</v>
      </c>
      <c r="C13" s="73" t="s">
        <v>141</v>
      </c>
      <c r="D13" s="74" t="s">
        <v>1349</v>
      </c>
      <c r="E13" s="13" t="str">
        <f>HYPERLINK("https://youtu.be/TuGczKyPOhs","channel 1")</f>
        <v>channel 1</v>
      </c>
    </row>
    <row r="14">
      <c r="B14" s="72" t="s">
        <v>1006</v>
      </c>
      <c r="C14" s="73" t="s">
        <v>85</v>
      </c>
      <c r="D14" s="74" t="s">
        <v>1226</v>
      </c>
      <c r="E14" s="66" t="str">
        <f>HYPERLINK("https://youtu.be/OuNoLbRcSK4","channel 2")</f>
        <v>channel 2</v>
      </c>
    </row>
    <row r="15">
      <c r="B15" s="72" t="s">
        <v>1349</v>
      </c>
      <c r="C15" s="73" t="s">
        <v>49</v>
      </c>
      <c r="D15" s="74" t="s">
        <v>1009</v>
      </c>
      <c r="E15" s="13" t="str">
        <f>HYPERLINK("https://youtu.be/xxuWf4sFnxQ","channel 1")</f>
        <v>channel 1</v>
      </c>
    </row>
    <row r="16">
      <c r="B16" s="72" t="s">
        <v>1350</v>
      </c>
      <c r="C16" s="73" t="s">
        <v>135</v>
      </c>
      <c r="D16" s="74" t="s">
        <v>1226</v>
      </c>
      <c r="E16" s="66" t="str">
        <f>HYPERLINK("https://youtu.be/LhTgxmyAoEo","channel 2")</f>
        <v>channel 2</v>
      </c>
    </row>
    <row r="17">
      <c r="B17" s="72" t="s">
        <v>1006</v>
      </c>
      <c r="C17" s="73" t="s">
        <v>494</v>
      </c>
      <c r="D17" s="74" t="s">
        <v>1009</v>
      </c>
      <c r="E17" s="13" t="str">
        <f>HYPERLINK("https://youtu.be/Vnn8oXDELtU","channel 1")</f>
        <v>channel 1</v>
      </c>
    </row>
    <row r="18">
      <c r="B18" s="72" t="s">
        <v>1349</v>
      </c>
      <c r="C18" s="73" t="s">
        <v>32</v>
      </c>
      <c r="D18" s="74" t="s">
        <v>1226</v>
      </c>
      <c r="E18" s="66" t="str">
        <f>HYPERLINK("https://youtu.be/q88OTVXt2fg","channel 2")</f>
        <v>channel 2</v>
      </c>
    </row>
    <row r="19">
      <c r="B19" s="72" t="s">
        <v>1350</v>
      </c>
      <c r="C19" s="73" t="s">
        <v>228</v>
      </c>
      <c r="D19" s="74" t="s">
        <v>1009</v>
      </c>
      <c r="E19" s="13" t="str">
        <f>HYPERLINK("https://youtu.be/af2W_Aodm-0","channel 1")</f>
        <v>channel 1</v>
      </c>
    </row>
    <row r="20">
      <c r="B20" s="72" t="s">
        <v>1349</v>
      </c>
      <c r="C20" s="73" t="s">
        <v>30</v>
      </c>
      <c r="D20" s="74" t="s">
        <v>1006</v>
      </c>
      <c r="E20" s="66" t="str">
        <f>HYPERLINK("https://youtu.be/G2QFBgBALm0","channel 2")</f>
        <v>channel 2</v>
      </c>
    </row>
    <row r="21">
      <c r="B21" s="72" t="s">
        <v>1226</v>
      </c>
      <c r="C21" s="73" t="s">
        <v>30</v>
      </c>
      <c r="D21" s="74" t="s">
        <v>1009</v>
      </c>
      <c r="E21" s="13" t="str">
        <f>HYPERLINK("https://youtu.be/yHmZ6iUBYkU","channel 1")</f>
        <v>channel 1</v>
      </c>
    </row>
    <row r="22">
      <c r="B22" s="72" t="s">
        <v>1350</v>
      </c>
      <c r="C22" s="73" t="s">
        <v>34</v>
      </c>
      <c r="D22" s="74" t="s">
        <v>1006</v>
      </c>
      <c r="E22" s="66" t="str">
        <f>HYPERLINK("https://youtu.be/z5oHvxcqdWA","channel 2")</f>
        <v>channel 2</v>
      </c>
    </row>
    <row r="23">
      <c r="B23" s="58" t="s">
        <v>580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1354</v>
      </c>
      <c r="C25" s="70" t="s">
        <v>47</v>
      </c>
      <c r="D25" s="71" t="s">
        <v>1355</v>
      </c>
      <c r="E25" s="23" t="s">
        <v>26</v>
      </c>
    </row>
    <row r="26">
      <c r="B26" s="72" t="s">
        <v>81</v>
      </c>
      <c r="C26" s="73" t="s">
        <v>32</v>
      </c>
      <c r="D26" s="74" t="s">
        <v>1356</v>
      </c>
      <c r="E26" s="66" t="str">
        <f>HYPERLINK("https://youtu.be/T-sNJP6GHhw","channel 2")</f>
        <v>channel 2</v>
      </c>
    </row>
    <row r="27">
      <c r="B27" s="72" t="s">
        <v>679</v>
      </c>
      <c r="C27" s="73" t="s">
        <v>18</v>
      </c>
      <c r="D27" s="74" t="s">
        <v>1354</v>
      </c>
      <c r="E27" s="13" t="str">
        <f>HYPERLINK("https://youtu.be/-lUwXYCml_k","channel 1")</f>
        <v>channel 1</v>
      </c>
    </row>
    <row r="28">
      <c r="B28" s="72" t="s">
        <v>81</v>
      </c>
      <c r="C28" s="73" t="s">
        <v>35</v>
      </c>
      <c r="D28" s="74" t="s">
        <v>1355</v>
      </c>
      <c r="E28" s="66" t="str">
        <f>HYPERLINK("https://youtu.be/SGN8kGzZloU","channel 2")</f>
        <v>channel 2</v>
      </c>
    </row>
    <row r="29">
      <c r="B29" s="72" t="s">
        <v>679</v>
      </c>
      <c r="C29" s="73" t="s">
        <v>148</v>
      </c>
      <c r="D29" s="74" t="s">
        <v>1356</v>
      </c>
      <c r="E29" s="13" t="str">
        <f>HYPERLINK("https://youtu.be/WHqvXGOXPr4","channel 1")</f>
        <v>channel 1</v>
      </c>
    </row>
    <row r="30">
      <c r="B30" s="72" t="s">
        <v>81</v>
      </c>
      <c r="C30" s="73" t="s">
        <v>49</v>
      </c>
      <c r="D30" s="74" t="s">
        <v>1354</v>
      </c>
      <c r="E30" s="66" t="str">
        <f>HYPERLINK("https://youtu.be/66riSrRICzw","channel 2")</f>
        <v>channel 2</v>
      </c>
    </row>
    <row r="31">
      <c r="B31" s="72" t="s">
        <v>679</v>
      </c>
      <c r="C31" s="73" t="s">
        <v>113</v>
      </c>
      <c r="D31" s="74" t="s">
        <v>1355</v>
      </c>
      <c r="E31" s="13" t="str">
        <f>HYPERLINK("https://youtu.be/rzHz9edcQZA","channel 1")</f>
        <v>channel 1</v>
      </c>
    </row>
    <row r="32">
      <c r="B32" s="72" t="s">
        <v>1356</v>
      </c>
      <c r="C32" s="73" t="s">
        <v>144</v>
      </c>
      <c r="D32" s="74" t="s">
        <v>1354</v>
      </c>
      <c r="E32" s="66" t="str">
        <f>HYPERLINK("https://youtu.be/A5206RjB204","channel 2")</f>
        <v>channel 2</v>
      </c>
    </row>
    <row r="33">
      <c r="B33" s="72" t="s">
        <v>679</v>
      </c>
      <c r="C33" s="73" t="s">
        <v>180</v>
      </c>
      <c r="D33" s="74" t="s">
        <v>81</v>
      </c>
      <c r="E33" s="13" t="str">
        <f>HYPERLINK("https://youtu.be/OS-2jtvW3r8","channel 1")</f>
        <v>channel 1</v>
      </c>
    </row>
    <row r="34">
      <c r="B34" s="72" t="s">
        <v>1356</v>
      </c>
      <c r="C34" s="73" t="s">
        <v>74</v>
      </c>
      <c r="D34" s="74" t="s">
        <v>1355</v>
      </c>
      <c r="E34" s="66" t="str">
        <f>HYPERLINK("https://youtu.be/YHEC5Bv5SOM","channel 2")</f>
        <v>channel 2</v>
      </c>
    </row>
    <row r="35">
      <c r="B35" s="72" t="s">
        <v>1355</v>
      </c>
      <c r="C35" s="73" t="s">
        <v>460</v>
      </c>
      <c r="D35" s="74" t="s">
        <v>1354</v>
      </c>
      <c r="E35" s="13" t="str">
        <f>HYPERLINK("https://youtu.be/To5DsR-AB1I","channel 1")</f>
        <v>channel 1</v>
      </c>
    </row>
    <row r="36">
      <c r="B36" s="72" t="s">
        <v>1356</v>
      </c>
      <c r="C36" s="73" t="s">
        <v>109</v>
      </c>
      <c r="D36" s="74" t="s">
        <v>81</v>
      </c>
      <c r="E36" s="66" t="str">
        <f>HYPERLINK("https://youtu.be/0YSSPFk7Nws","channel 2")</f>
        <v>channel 2</v>
      </c>
    </row>
    <row r="37">
      <c r="B37" s="72" t="s">
        <v>1354</v>
      </c>
      <c r="C37" s="73" t="s">
        <v>90</v>
      </c>
      <c r="D37" s="74" t="s">
        <v>679</v>
      </c>
      <c r="E37" s="13" t="str">
        <f>HYPERLINK("https://youtu.be/DrWOC62T4BI","channel 1")</f>
        <v>channel 1</v>
      </c>
    </row>
    <row r="38">
      <c r="B38" s="72" t="s">
        <v>1355</v>
      </c>
      <c r="C38" s="73" t="s">
        <v>47</v>
      </c>
      <c r="D38" s="74" t="s">
        <v>81</v>
      </c>
      <c r="E38" s="66" t="str">
        <f>HYPERLINK("https://youtu.be/wv-NohsPYro","channel 2")</f>
        <v>channel 2</v>
      </c>
    </row>
    <row r="39">
      <c r="B39" s="72" t="s">
        <v>1356</v>
      </c>
      <c r="C39" s="73" t="s">
        <v>10</v>
      </c>
      <c r="D39" s="74" t="s">
        <v>679</v>
      </c>
      <c r="E39" s="13" t="str">
        <f>HYPERLINK("https://youtu.be/HLkNjnztTmc","channel 1")</f>
        <v>channel 1</v>
      </c>
    </row>
    <row r="40">
      <c r="B40" s="72" t="s">
        <v>1354</v>
      </c>
      <c r="C40" s="73" t="s">
        <v>46</v>
      </c>
      <c r="D40" s="74" t="s">
        <v>81</v>
      </c>
      <c r="E40" s="66" t="str">
        <f>HYPERLINK("https://youtu.be/MYCUxltutvc","channel 2")</f>
        <v>channel 2</v>
      </c>
    </row>
    <row r="41">
      <c r="B41" s="72" t="s">
        <v>1355</v>
      </c>
      <c r="C41" s="73" t="s">
        <v>225</v>
      </c>
      <c r="D41" s="74" t="s">
        <v>679</v>
      </c>
      <c r="E41" s="13" t="str">
        <f>HYPERLINK("https://youtu.be/C2FiuWedfqc","channel 1")</f>
        <v>channel 1</v>
      </c>
    </row>
    <row r="42">
      <c r="B42" s="72" t="s">
        <v>1354</v>
      </c>
      <c r="C42" s="73" t="s">
        <v>223</v>
      </c>
      <c r="D42" s="74" t="s">
        <v>1356</v>
      </c>
      <c r="E42" s="66" t="str">
        <f>HYPERLINK("https://youtu.be/Jj3pSn0vVPU","channel 2")</f>
        <v>channel 2</v>
      </c>
    </row>
    <row r="43">
      <c r="B43" s="72" t="s">
        <v>81</v>
      </c>
      <c r="C43" s="73" t="s">
        <v>59</v>
      </c>
      <c r="D43" s="74" t="s">
        <v>679</v>
      </c>
      <c r="E43" s="13" t="str">
        <f>HYPERLINK("https://youtu.be/Qzo5Di1plD0","channel 1")</f>
        <v>channel 1</v>
      </c>
    </row>
    <row r="44">
      <c r="B44" s="72" t="s">
        <v>1355</v>
      </c>
      <c r="C44" s="73" t="s">
        <v>104</v>
      </c>
      <c r="D44" s="74" t="s">
        <v>1356</v>
      </c>
      <c r="E44" s="66" t="str">
        <f>HYPERLINK("https://youtu.be/SACjBqV5b8E","channel 2")</f>
        <v>channel 2</v>
      </c>
    </row>
    <row r="45">
      <c r="B45" s="2" t="s">
        <v>597</v>
      </c>
      <c r="C45" s="3"/>
      <c r="D45" s="4"/>
      <c r="E45" s="89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1357</v>
      </c>
      <c r="C47" s="70" t="s">
        <v>124</v>
      </c>
      <c r="D47" s="74" t="s">
        <v>1358</v>
      </c>
      <c r="E47" s="13" t="str">
        <f>HYPERLINK("https://youtu.be/0PUUzsPnh1I","channel 1")</f>
        <v>channel 1</v>
      </c>
    </row>
    <row r="48">
      <c r="B48" s="72" t="s">
        <v>1359</v>
      </c>
      <c r="C48" s="73" t="s">
        <v>194</v>
      </c>
      <c r="D48" s="74" t="s">
        <v>1360</v>
      </c>
      <c r="E48" s="66" t="str">
        <f>HYPERLINK("https://youtu.be/_PlMiTa-CkQ","channel 2")</f>
        <v>channel 2</v>
      </c>
    </row>
    <row r="49">
      <c r="B49" s="72" t="s">
        <v>1361</v>
      </c>
      <c r="C49" s="73" t="s">
        <v>145</v>
      </c>
      <c r="D49" s="74" t="s">
        <v>1357</v>
      </c>
      <c r="E49" s="13" t="str">
        <f>HYPERLINK("https://youtu.be/T0cbtlo5mLo","channel 1")</f>
        <v>channel 1</v>
      </c>
    </row>
    <row r="50">
      <c r="B50" s="72" t="s">
        <v>1359</v>
      </c>
      <c r="C50" s="73" t="s">
        <v>138</v>
      </c>
      <c r="D50" s="74" t="s">
        <v>1358</v>
      </c>
      <c r="E50" s="66" t="str">
        <f>HYPERLINK("https://youtu.be/KySMyS6bjbQ","channel 2")</f>
        <v>channel 2</v>
      </c>
    </row>
    <row r="51">
      <c r="B51" s="72" t="s">
        <v>1361</v>
      </c>
      <c r="C51" s="73" t="s">
        <v>104</v>
      </c>
      <c r="D51" s="74" t="s">
        <v>1360</v>
      </c>
      <c r="E51" s="13" t="str">
        <f>HYPERLINK("https://youtu.be/pfHj2Si4brQ","channel 1")</f>
        <v>channel 1</v>
      </c>
    </row>
    <row r="52">
      <c r="B52" s="72" t="s">
        <v>1359</v>
      </c>
      <c r="C52" s="73" t="s">
        <v>47</v>
      </c>
      <c r="D52" s="74" t="s">
        <v>1357</v>
      </c>
      <c r="E52" s="66" t="str">
        <f>HYPERLINK("https://youtu.be/ZeamPcsS9cQ","channel 2")</f>
        <v>channel 2</v>
      </c>
    </row>
    <row r="53">
      <c r="B53" s="72" t="s">
        <v>1361</v>
      </c>
      <c r="C53" s="38" t="s">
        <v>85</v>
      </c>
      <c r="D53" s="74" t="s">
        <v>1358</v>
      </c>
      <c r="E53" s="13" t="str">
        <f>HYPERLINK("https://youtu.be/dXprs-S3Qrk","channel 1")</f>
        <v>channel 1</v>
      </c>
    </row>
    <row r="54">
      <c r="B54" s="72" t="s">
        <v>1360</v>
      </c>
      <c r="C54" s="73" t="s">
        <v>85</v>
      </c>
      <c r="D54" s="74" t="s">
        <v>1357</v>
      </c>
      <c r="E54" s="66" t="str">
        <f>HYPERLINK("https://youtu.be/FuKKlIbtedc","channel 2")</f>
        <v>channel 2</v>
      </c>
    </row>
    <row r="55">
      <c r="B55" s="72" t="s">
        <v>1361</v>
      </c>
      <c r="C55" s="73" t="s">
        <v>34</v>
      </c>
      <c r="D55" s="74" t="s">
        <v>1359</v>
      </c>
      <c r="E55" s="13" t="str">
        <f>HYPERLINK("https://youtu.be/aPSJe0zjF94","channel 1")</f>
        <v>channel 1</v>
      </c>
    </row>
    <row r="56">
      <c r="B56" s="72" t="s">
        <v>1360</v>
      </c>
      <c r="C56" s="73" t="s">
        <v>350</v>
      </c>
      <c r="D56" s="74" t="s">
        <v>1358</v>
      </c>
      <c r="E56" s="66" t="str">
        <f>HYPERLINK("https://youtu.be/0y4EWGGDzxY","channel 2")</f>
        <v>channel 2</v>
      </c>
    </row>
    <row r="57">
      <c r="B57" s="72" t="s">
        <v>1358</v>
      </c>
      <c r="C57" s="73" t="s">
        <v>30</v>
      </c>
      <c r="D57" s="74" t="s">
        <v>1357</v>
      </c>
      <c r="E57" s="13" t="str">
        <f>HYPERLINK("https://youtu.be/XEGWmP5dF1c","channel 1")</f>
        <v>channel 1</v>
      </c>
    </row>
    <row r="58">
      <c r="B58" s="72" t="s">
        <v>1360</v>
      </c>
      <c r="C58" s="73" t="s">
        <v>109</v>
      </c>
      <c r="D58" s="74" t="s">
        <v>1359</v>
      </c>
      <c r="E58" s="66" t="str">
        <f>HYPERLINK("https://youtu.be/KI43QEfeOKU","channel 2")</f>
        <v>channel 2</v>
      </c>
    </row>
    <row r="59">
      <c r="B59" s="72" t="s">
        <v>1357</v>
      </c>
      <c r="C59" s="73" t="s">
        <v>179</v>
      </c>
      <c r="D59" s="74" t="s">
        <v>1361</v>
      </c>
      <c r="E59" s="13" t="str">
        <f>HYPERLINK("https://youtu.be/koyk4CSc38o","channel 1")</f>
        <v>channel 1</v>
      </c>
    </row>
    <row r="60">
      <c r="B60" s="72" t="s">
        <v>1358</v>
      </c>
      <c r="C60" s="73" t="s">
        <v>30</v>
      </c>
      <c r="D60" s="74" t="s">
        <v>1359</v>
      </c>
      <c r="E60" s="66" t="str">
        <f>HYPERLINK("https://youtu.be/ADxmspI8FkM","channel 2")</f>
        <v>channel 2</v>
      </c>
    </row>
    <row r="61">
      <c r="B61" s="72" t="s">
        <v>1360</v>
      </c>
      <c r="C61" s="73" t="s">
        <v>145</v>
      </c>
      <c r="D61" s="74" t="s">
        <v>1361</v>
      </c>
      <c r="E61" s="13" t="str">
        <f>HYPERLINK("https://youtu.be/Ka9zurZi9vo","channel 1")</f>
        <v>channel 1</v>
      </c>
    </row>
    <row r="62">
      <c r="B62" s="72" t="s">
        <v>1357</v>
      </c>
      <c r="C62" s="73" t="s">
        <v>538</v>
      </c>
      <c r="D62" s="74" t="s">
        <v>1359</v>
      </c>
      <c r="E62" s="66" t="str">
        <f>HYPERLINK("https://youtu.be/5PJWlcqmVxI","channel 2")</f>
        <v>channel 2</v>
      </c>
    </row>
    <row r="63">
      <c r="B63" s="72" t="s">
        <v>1358</v>
      </c>
      <c r="C63" s="73" t="s">
        <v>148</v>
      </c>
      <c r="D63" s="74" t="s">
        <v>1361</v>
      </c>
      <c r="E63" s="13" t="str">
        <f>HYPERLINK("https://youtu.be/Au4g-MzV7Hg","channel 1")</f>
        <v>channel 1</v>
      </c>
    </row>
    <row r="64">
      <c r="B64" s="72" t="s">
        <v>1357</v>
      </c>
      <c r="C64" s="73" t="s">
        <v>93</v>
      </c>
      <c r="D64" s="74" t="s">
        <v>1360</v>
      </c>
      <c r="E64" s="66" t="str">
        <f>HYPERLINK("https://youtu.be/oHFE3uL9VJI","channel 2")</f>
        <v>channel 2</v>
      </c>
    </row>
    <row r="65">
      <c r="B65" s="72" t="s">
        <v>1359</v>
      </c>
      <c r="C65" s="73" t="s">
        <v>59</v>
      </c>
      <c r="D65" s="74" t="s">
        <v>1361</v>
      </c>
      <c r="E65" s="13" t="str">
        <f>HYPERLINK("https://youtu.be/YZR1ecoHmDU","channel 1")</f>
        <v>channel 1</v>
      </c>
    </row>
    <row r="66">
      <c r="B66" s="72" t="s">
        <v>1358</v>
      </c>
      <c r="C66" s="73" t="s">
        <v>212</v>
      </c>
      <c r="D66" s="74" t="s">
        <v>1360</v>
      </c>
      <c r="E66" s="66" t="str">
        <f>HYPERLINK("https://youtu.be/exsDlrG1Nvw","channel 2")</f>
        <v>channel 2</v>
      </c>
    </row>
    <row r="67">
      <c r="B67" s="2" t="s">
        <v>1150</v>
      </c>
      <c r="C67" s="3"/>
      <c r="D67" s="4"/>
      <c r="E67" s="89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1306</v>
      </c>
      <c r="C69" s="70" t="s">
        <v>99</v>
      </c>
      <c r="D69" s="74" t="s">
        <v>1362</v>
      </c>
      <c r="E69" s="13" t="str">
        <f>HYPERLINK("https://youtu.be/j5lgrstZ_KE","channel 1")</f>
        <v>channel 1</v>
      </c>
    </row>
    <row r="70">
      <c r="B70" s="72" t="s">
        <v>488</v>
      </c>
      <c r="C70" s="73" t="s">
        <v>477</v>
      </c>
      <c r="D70" s="74" t="s">
        <v>1363</v>
      </c>
      <c r="E70" s="66" t="str">
        <f>HYPERLINK("https://youtu.be/HGnYzkbsRCo","channel 2")</f>
        <v>channel 2</v>
      </c>
    </row>
    <row r="71">
      <c r="B71" s="72" t="s">
        <v>1364</v>
      </c>
      <c r="C71" s="73" t="s">
        <v>47</v>
      </c>
      <c r="D71" s="74" t="s">
        <v>1306</v>
      </c>
      <c r="E71" s="13" t="str">
        <f>HYPERLINK("https://youtu.be/HWOcSZK6j1Y","channel 1")</f>
        <v>channel 1</v>
      </c>
    </row>
    <row r="72">
      <c r="B72" s="72" t="s">
        <v>488</v>
      </c>
      <c r="C72" s="73" t="s">
        <v>10</v>
      </c>
      <c r="D72" s="74" t="s">
        <v>1362</v>
      </c>
      <c r="E72" s="66" t="str">
        <f>HYPERLINK("https://youtu.be/5IFPCCqQk90","channel 2")</f>
        <v>channel 2</v>
      </c>
    </row>
    <row r="73">
      <c r="B73" s="72" t="s">
        <v>1364</v>
      </c>
      <c r="C73" s="73" t="s">
        <v>77</v>
      </c>
      <c r="D73" s="74" t="s">
        <v>1363</v>
      </c>
      <c r="E73" s="13" t="str">
        <f>HYPERLINK("https://youtu.be/6TMMndp3bL8","channel 1")</f>
        <v>channel 1</v>
      </c>
    </row>
    <row r="74">
      <c r="B74" s="72" t="s">
        <v>488</v>
      </c>
      <c r="C74" s="73" t="s">
        <v>18</v>
      </c>
      <c r="D74" s="74" t="s">
        <v>1306</v>
      </c>
      <c r="E74" s="66" t="str">
        <f>HYPERLINK("https://youtu.be/fKzswV8CDyA","channel 2")</f>
        <v>channel 2</v>
      </c>
    </row>
    <row r="75">
      <c r="B75" s="72" t="s">
        <v>1364</v>
      </c>
      <c r="C75" s="73" t="s">
        <v>347</v>
      </c>
      <c r="D75" s="74" t="s">
        <v>1362</v>
      </c>
      <c r="E75" s="13" t="str">
        <f>HYPERLINK("https://youtu.be/9syTLQjIYHw","channel 1")</f>
        <v>channel 1</v>
      </c>
    </row>
    <row r="76">
      <c r="B76" s="72" t="s">
        <v>1363</v>
      </c>
      <c r="C76" s="73" t="s">
        <v>180</v>
      </c>
      <c r="D76" s="74" t="s">
        <v>1306</v>
      </c>
      <c r="E76" s="66" t="str">
        <f>HYPERLINK("https://youtu.be/n05iTXGLeO8","channel 2")</f>
        <v>channel 2</v>
      </c>
    </row>
    <row r="77">
      <c r="B77" s="72" t="s">
        <v>1364</v>
      </c>
      <c r="C77" s="73" t="s">
        <v>232</v>
      </c>
      <c r="D77" s="74" t="s">
        <v>488</v>
      </c>
      <c r="E77" s="13" t="str">
        <f>HYPERLINK("https://youtu.be/VGF73IpUuVs","channel 1")</f>
        <v>channel 1</v>
      </c>
    </row>
    <row r="78">
      <c r="B78" s="72" t="s">
        <v>1363</v>
      </c>
      <c r="C78" s="73" t="s">
        <v>257</v>
      </c>
      <c r="D78" s="74" t="s">
        <v>1362</v>
      </c>
      <c r="E78" s="66" t="str">
        <f>HYPERLINK("https://youtu.be/hymfp0y4-kU","channel 2")</f>
        <v>channel 2</v>
      </c>
    </row>
    <row r="79">
      <c r="B79" s="72" t="s">
        <v>1362</v>
      </c>
      <c r="C79" s="73" t="s">
        <v>358</v>
      </c>
      <c r="D79" s="74" t="s">
        <v>1306</v>
      </c>
      <c r="E79" s="13" t="str">
        <f>HYPERLINK("https://youtu.be/ukEnhEsEaLA","channel 1")</f>
        <v>channel 1</v>
      </c>
    </row>
    <row r="80">
      <c r="B80" s="72" t="s">
        <v>1363</v>
      </c>
      <c r="C80" s="73" t="s">
        <v>156</v>
      </c>
      <c r="D80" s="74" t="s">
        <v>488</v>
      </c>
      <c r="E80" s="66" t="str">
        <f>HYPERLINK("https://youtu.be/KBeYVDYagKY","channel 2")</f>
        <v>channel 2</v>
      </c>
    </row>
    <row r="81">
      <c r="B81" s="72" t="s">
        <v>1306</v>
      </c>
      <c r="C81" s="73" t="s">
        <v>143</v>
      </c>
      <c r="D81" s="74" t="s">
        <v>1364</v>
      </c>
      <c r="E81" s="13" t="str">
        <f>HYPERLINK("https://youtu.be/GnEgUf_khf0","channel 1")</f>
        <v>channel 1</v>
      </c>
    </row>
    <row r="82">
      <c r="B82" s="72" t="s">
        <v>1362</v>
      </c>
      <c r="C82" s="73" t="s">
        <v>30</v>
      </c>
      <c r="D82" s="74" t="s">
        <v>488</v>
      </c>
      <c r="E82" s="66" t="str">
        <f>HYPERLINK("https://youtu.be/Ojv_KhTKP4M","channel 2")</f>
        <v>channel 2</v>
      </c>
    </row>
    <row r="83">
      <c r="B83" s="72" t="s">
        <v>1363</v>
      </c>
      <c r="C83" s="73" t="s">
        <v>59</v>
      </c>
      <c r="D83" s="74" t="s">
        <v>1364</v>
      </c>
      <c r="E83" s="13" t="str">
        <f>HYPERLINK("https://youtu.be/XVUylTG1Xg0","channel 1")</f>
        <v>channel 1</v>
      </c>
    </row>
    <row r="84">
      <c r="B84" s="72" t="s">
        <v>1306</v>
      </c>
      <c r="C84" s="73" t="s">
        <v>296</v>
      </c>
      <c r="D84" s="74" t="s">
        <v>488</v>
      </c>
      <c r="E84" s="66" t="str">
        <f>HYPERLINK("https://youtu.be/pnCOaHwty_Q","channel 2")</f>
        <v>channel 2</v>
      </c>
    </row>
    <row r="85">
      <c r="B85" s="72" t="s">
        <v>1362</v>
      </c>
      <c r="C85" s="73" t="s">
        <v>1366</v>
      </c>
      <c r="D85" s="74" t="s">
        <v>1364</v>
      </c>
      <c r="E85" s="13" t="str">
        <f>HYPERLINK("https://youtu.be/plSBPOA8GYs","channel 1")</f>
        <v>channel 1</v>
      </c>
    </row>
    <row r="86">
      <c r="B86" s="72" t="s">
        <v>1306</v>
      </c>
      <c r="C86" s="73" t="s">
        <v>148</v>
      </c>
      <c r="D86" s="74" t="s">
        <v>1363</v>
      </c>
      <c r="E86" s="66" t="str">
        <f>HYPERLINK("https://youtu.be/d1VB00q_8Hs","channel 2")</f>
        <v>channel 2</v>
      </c>
    </row>
    <row r="87">
      <c r="B87" s="72" t="s">
        <v>488</v>
      </c>
      <c r="C87" s="73" t="s">
        <v>143</v>
      </c>
      <c r="D87" s="74" t="s">
        <v>1364</v>
      </c>
      <c r="E87" s="13" t="str">
        <f>HYPERLINK("https://youtu.be/rs8G_W5rNGE","channel 1")</f>
        <v>channel 1</v>
      </c>
    </row>
    <row r="88">
      <c r="B88" s="72" t="s">
        <v>1362</v>
      </c>
      <c r="C88" s="73" t="s">
        <v>724</v>
      </c>
      <c r="D88" s="74" t="s">
        <v>1363</v>
      </c>
      <c r="E88" s="66" t="str">
        <f>HYPERLINK("https://youtu.be/d9Vv09vNM4k","channel 2")</f>
        <v>channel 2</v>
      </c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644</v>
      </c>
      <c r="C3" s="70" t="s">
        <v>117</v>
      </c>
      <c r="D3" s="71" t="s">
        <v>1365</v>
      </c>
      <c r="E3" s="13" t="str">
        <f>HYPERLINK("https://youtu.be/tZD8yiq9jNM","channel 1")</f>
        <v>channel 1</v>
      </c>
    </row>
    <row r="4">
      <c r="B4" s="72" t="s">
        <v>1114</v>
      </c>
      <c r="C4" s="73" t="s">
        <v>214</v>
      </c>
      <c r="D4" s="74" t="s">
        <v>123</v>
      </c>
      <c r="E4" s="66" t="str">
        <f>HYPERLINK("https://youtu.be/u6FHbI6SVwI","channel 2")</f>
        <v>channel 2</v>
      </c>
    </row>
    <row r="5">
      <c r="B5" s="72" t="s">
        <v>989</v>
      </c>
      <c r="C5" s="73" t="s">
        <v>110</v>
      </c>
      <c r="D5" s="74" t="s">
        <v>644</v>
      </c>
      <c r="E5" s="13" t="str">
        <f>HYPERLINK("https://youtu.be/Etsgb6JJPu4","channel 1")</f>
        <v>channel 1</v>
      </c>
    </row>
    <row r="6">
      <c r="B6" s="72" t="s">
        <v>1114</v>
      </c>
      <c r="C6" s="73" t="s">
        <v>142</v>
      </c>
      <c r="D6" s="74" t="s">
        <v>1365</v>
      </c>
      <c r="E6" s="66" t="str">
        <f>HYPERLINK("https://youtu.be/KqEZBCqyxF8","channel 2")</f>
        <v>channel 2</v>
      </c>
    </row>
    <row r="7">
      <c r="B7" s="72" t="s">
        <v>989</v>
      </c>
      <c r="C7" s="73" t="s">
        <v>143</v>
      </c>
      <c r="D7" s="74" t="s">
        <v>123</v>
      </c>
      <c r="E7" s="13" t="str">
        <f>HYPERLINK("https://youtu.be/W1djE-sekGk","channel 1")</f>
        <v>channel 1</v>
      </c>
    </row>
    <row r="8">
      <c r="B8" s="72" t="s">
        <v>1114</v>
      </c>
      <c r="C8" s="73" t="s">
        <v>89</v>
      </c>
      <c r="D8" s="74" t="s">
        <v>644</v>
      </c>
      <c r="E8" s="66" t="str">
        <f>HYPERLINK("https://youtu.be/h7U85YeXOJ8","channel 2")</f>
        <v>channel 2</v>
      </c>
    </row>
    <row r="9">
      <c r="B9" s="72" t="s">
        <v>989</v>
      </c>
      <c r="C9" s="73" t="s">
        <v>49</v>
      </c>
      <c r="D9" s="74" t="s">
        <v>1365</v>
      </c>
      <c r="E9" s="13" t="str">
        <f>HYPERLINK("https://youtu.be/w3L_aGTMERg","channel 1")</f>
        <v>channel 1</v>
      </c>
    </row>
    <row r="10">
      <c r="B10" s="72" t="s">
        <v>123</v>
      </c>
      <c r="C10" s="73" t="s">
        <v>145</v>
      </c>
      <c r="D10" s="74" t="s">
        <v>644</v>
      </c>
      <c r="E10" s="66" t="str">
        <f>HYPERLINK("https://youtu.be/bQUn_TzdMME","channel 2")</f>
        <v>channel 2</v>
      </c>
    </row>
    <row r="11">
      <c r="B11" s="72" t="s">
        <v>989</v>
      </c>
      <c r="C11" s="73" t="s">
        <v>20</v>
      </c>
      <c r="D11" s="74" t="s">
        <v>1114</v>
      </c>
      <c r="E11" s="13" t="str">
        <f>HYPERLINK("https://youtu.be/O6LD81viQy4","channel 1")</f>
        <v>channel 1</v>
      </c>
    </row>
    <row r="12">
      <c r="B12" s="72" t="s">
        <v>123</v>
      </c>
      <c r="C12" s="73" t="s">
        <v>10</v>
      </c>
      <c r="D12" s="74" t="s">
        <v>1365</v>
      </c>
      <c r="E12" s="66" t="str">
        <f>HYPERLINK("https://youtu.be/8rxyXR1hGJ0","channel 2")</f>
        <v>channel 2</v>
      </c>
    </row>
    <row r="13">
      <c r="B13" s="72" t="s">
        <v>1365</v>
      </c>
      <c r="C13" s="73" t="s">
        <v>47</v>
      </c>
      <c r="D13" s="74" t="s">
        <v>644</v>
      </c>
      <c r="E13" s="13" t="str">
        <f>HYPERLINK("https://youtu.be/VAp-_HnN10w","channel 1")</f>
        <v>channel 1</v>
      </c>
    </row>
    <row r="14">
      <c r="B14" s="72" t="s">
        <v>123</v>
      </c>
      <c r="C14" s="73" t="s">
        <v>104</v>
      </c>
      <c r="D14" s="74" t="s">
        <v>1114</v>
      </c>
      <c r="E14" s="66" t="str">
        <f>HYPERLINK("https://youtu.be/zjqHlwiTM-g","channel 2")</f>
        <v>channel 2</v>
      </c>
    </row>
    <row r="15">
      <c r="B15" s="72" t="s">
        <v>644</v>
      </c>
      <c r="C15" s="73" t="s">
        <v>47</v>
      </c>
      <c r="D15" s="74" t="s">
        <v>989</v>
      </c>
      <c r="E15" s="13" t="str">
        <f>HYPERLINK("https://youtu.be/5Hc0fo08Bxk","channel 1")</f>
        <v>channel 1</v>
      </c>
    </row>
    <row r="16">
      <c r="B16" s="72" t="s">
        <v>1365</v>
      </c>
      <c r="C16" s="73" t="s">
        <v>477</v>
      </c>
      <c r="D16" s="74" t="s">
        <v>1114</v>
      </c>
      <c r="E16" s="66" t="str">
        <f>HYPERLINK("https://youtu.be/-FW_PYY7vaY","channel 2")</f>
        <v>channel 2</v>
      </c>
    </row>
    <row r="17">
      <c r="B17" s="72" t="s">
        <v>123</v>
      </c>
      <c r="C17" s="73" t="s">
        <v>148</v>
      </c>
      <c r="D17" s="74" t="s">
        <v>989</v>
      </c>
      <c r="E17" s="13" t="str">
        <f>HYPERLINK("https://youtu.be/WOKL8kZ2b0M","channel 1")</f>
        <v>channel 1</v>
      </c>
    </row>
    <row r="18">
      <c r="B18" s="72" t="s">
        <v>644</v>
      </c>
      <c r="C18" s="73" t="s">
        <v>232</v>
      </c>
      <c r="D18" s="74" t="s">
        <v>1114</v>
      </c>
      <c r="E18" s="66" t="str">
        <f>HYPERLINK("https://youtu.be/53TFFsTyjL8","channel 2")</f>
        <v>channel 2</v>
      </c>
    </row>
    <row r="19">
      <c r="B19" s="72" t="s">
        <v>1365</v>
      </c>
      <c r="C19" s="73" t="s">
        <v>146</v>
      </c>
      <c r="D19" s="74" t="s">
        <v>989</v>
      </c>
      <c r="E19" s="13" t="str">
        <f>HYPERLINK("https://youtu.be/pMHbS3XbFGM","channel 1")</f>
        <v>channel 1</v>
      </c>
    </row>
    <row r="20">
      <c r="B20" s="72" t="s">
        <v>644</v>
      </c>
      <c r="C20" s="73" t="s">
        <v>213</v>
      </c>
      <c r="D20" s="74" t="s">
        <v>123</v>
      </c>
      <c r="E20" s="66" t="str">
        <f>HYPERLINK("https://youtu.be/AJdS1eCF2YQ","channel 2")</f>
        <v>channel 2</v>
      </c>
    </row>
    <row r="21">
      <c r="B21" s="72" t="s">
        <v>1114</v>
      </c>
      <c r="C21" s="73" t="s">
        <v>82</v>
      </c>
      <c r="D21" s="74" t="s">
        <v>989</v>
      </c>
      <c r="E21" s="13" t="str">
        <f>HYPERLINK("https://youtu.be/olTPLvT7eOI","channel 1")</f>
        <v>channel 1</v>
      </c>
    </row>
    <row r="22">
      <c r="B22" s="72" t="s">
        <v>1365</v>
      </c>
      <c r="C22" s="73" t="s">
        <v>145</v>
      </c>
      <c r="D22" s="74" t="s">
        <v>123</v>
      </c>
      <c r="E22" s="66" t="str">
        <f>HYPERLINK("https://youtu.be/fu8QDamAM-w","channel 2")</f>
        <v>channel 2</v>
      </c>
    </row>
    <row r="23">
      <c r="B23" s="58" t="s">
        <v>579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1367</v>
      </c>
      <c r="C25" s="70" t="s">
        <v>106</v>
      </c>
      <c r="D25" s="71" t="s">
        <v>1368</v>
      </c>
      <c r="E25" s="13" t="str">
        <f>HYPERLINK("https://youtu.be/ssJAMqJtsB0","channel 1")</f>
        <v>channel 1</v>
      </c>
    </row>
    <row r="26">
      <c r="B26" s="72" t="s">
        <v>1261</v>
      </c>
      <c r="C26" s="73" t="s">
        <v>124</v>
      </c>
      <c r="D26" s="74" t="s">
        <v>1369</v>
      </c>
      <c r="E26" s="66" t="str">
        <f>HYPERLINK("https://youtu.be/YgDwN2ekEEM","channel 2")</f>
        <v>channel 2</v>
      </c>
    </row>
    <row r="27">
      <c r="B27" s="72" t="s">
        <v>1257</v>
      </c>
      <c r="C27" s="73" t="s">
        <v>138</v>
      </c>
      <c r="D27" s="74" t="s">
        <v>1367</v>
      </c>
      <c r="E27" s="13" t="str">
        <f>HYPERLINK("https://youtu.be/uxCbST1ER14","channel 1")</f>
        <v>channel 1</v>
      </c>
    </row>
    <row r="28">
      <c r="B28" s="72" t="s">
        <v>1261</v>
      </c>
      <c r="C28" s="73" t="s">
        <v>522</v>
      </c>
      <c r="D28" s="74" t="s">
        <v>1368</v>
      </c>
      <c r="E28" s="66" t="str">
        <f>HYPERLINK("https://youtu.be/duMZ02Ju8ME","channel 2")</f>
        <v>channel 2</v>
      </c>
    </row>
    <row r="29">
      <c r="B29" s="72" t="s">
        <v>1257</v>
      </c>
      <c r="C29" s="73" t="s">
        <v>384</v>
      </c>
      <c r="D29" s="74" t="s">
        <v>1369</v>
      </c>
      <c r="E29" s="13" t="str">
        <f>HYPERLINK("https://youtu.be/j8-Bob489ck","channel 1")</f>
        <v>channel 1</v>
      </c>
    </row>
    <row r="30">
      <c r="B30" s="72" t="s">
        <v>1261</v>
      </c>
      <c r="C30" s="73" t="s">
        <v>142</v>
      </c>
      <c r="D30" s="74" t="s">
        <v>1367</v>
      </c>
      <c r="E30" s="66" t="str">
        <f>HYPERLINK("https://youtu.be/vl-7St91tDM","channel 2")</f>
        <v>channel 2</v>
      </c>
    </row>
    <row r="31">
      <c r="B31" s="72" t="s">
        <v>1257</v>
      </c>
      <c r="C31" s="73" t="s">
        <v>47</v>
      </c>
      <c r="D31" s="74" t="s">
        <v>1368</v>
      </c>
      <c r="E31" s="13" t="str">
        <f>HYPERLINK("https://youtu.be/QkPwEpSA1To","channel 1")</f>
        <v>channel 1</v>
      </c>
    </row>
    <row r="32">
      <c r="B32" s="72" t="s">
        <v>1369</v>
      </c>
      <c r="C32" s="73" t="s">
        <v>437</v>
      </c>
      <c r="D32" s="74" t="s">
        <v>1367</v>
      </c>
      <c r="E32" s="66" t="str">
        <f>HYPERLINK("https://youtu.be/2gcohRlvCps","channel 2")</f>
        <v>channel 2</v>
      </c>
    </row>
    <row r="33">
      <c r="B33" s="72" t="s">
        <v>1257</v>
      </c>
      <c r="C33" s="73" t="s">
        <v>45</v>
      </c>
      <c r="D33" s="74" t="s">
        <v>1261</v>
      </c>
      <c r="E33" s="13" t="str">
        <f>HYPERLINK("https://youtu.be/FXcokL5A1-A","channel 1")</f>
        <v>channel 1</v>
      </c>
    </row>
    <row r="34">
      <c r="B34" s="72" t="s">
        <v>1369</v>
      </c>
      <c r="C34" s="73" t="s">
        <v>89</v>
      </c>
      <c r="D34" s="74" t="s">
        <v>1368</v>
      </c>
      <c r="E34" s="66" t="str">
        <f>HYPERLINK("https://youtu.be/rjko2W8F-sU","channel 2")</f>
        <v>channel 2</v>
      </c>
    </row>
    <row r="35">
      <c r="B35" s="72" t="s">
        <v>1368</v>
      </c>
      <c r="C35" s="73" t="s">
        <v>38</v>
      </c>
      <c r="D35" s="74" t="s">
        <v>1367</v>
      </c>
      <c r="E35" s="13" t="str">
        <f>HYPERLINK("https://youtu.be/M5XmwN2ymwo","channel 1")</f>
        <v>channel 1</v>
      </c>
    </row>
    <row r="36">
      <c r="B36" s="72" t="s">
        <v>1369</v>
      </c>
      <c r="C36" s="73" t="s">
        <v>110</v>
      </c>
      <c r="D36" s="74" t="s">
        <v>1261</v>
      </c>
      <c r="E36" s="66" t="str">
        <f>HYPERLINK("https://youtu.be/cf8OY09Senk","channel 2")</f>
        <v>channel 2</v>
      </c>
    </row>
    <row r="37">
      <c r="B37" s="72" t="s">
        <v>1367</v>
      </c>
      <c r="C37" s="73" t="s">
        <v>55</v>
      </c>
      <c r="D37" s="74" t="s">
        <v>1257</v>
      </c>
      <c r="E37" s="13" t="str">
        <f>HYPERLINK("https://youtu.be/oxRRQ5z3i2E","channel 1")</f>
        <v>channel 1</v>
      </c>
    </row>
    <row r="38">
      <c r="B38" s="72" t="s">
        <v>1368</v>
      </c>
      <c r="C38" s="73" t="s">
        <v>11</v>
      </c>
      <c r="D38" s="74" t="s">
        <v>1261</v>
      </c>
      <c r="E38" s="66" t="str">
        <f>HYPERLINK("https://youtu.be/DLimPE_oTsE","channel 2")</f>
        <v>channel 2</v>
      </c>
    </row>
    <row r="39">
      <c r="B39" s="72" t="s">
        <v>1369</v>
      </c>
      <c r="C39" s="73" t="s">
        <v>59</v>
      </c>
      <c r="D39" s="74" t="s">
        <v>1257</v>
      </c>
      <c r="E39" s="13" t="str">
        <f>HYPERLINK("https://youtu.be/BNLLbwCH490","channel 1")</f>
        <v>channel 1</v>
      </c>
    </row>
    <row r="40">
      <c r="B40" s="72" t="s">
        <v>1367</v>
      </c>
      <c r="C40" s="73" t="s">
        <v>117</v>
      </c>
      <c r="D40" s="74" t="s">
        <v>1261</v>
      </c>
      <c r="E40" s="66" t="str">
        <f>HYPERLINK("https://youtu.be/8olPjWy7jkk","channel 2")</f>
        <v>channel 2</v>
      </c>
    </row>
    <row r="41">
      <c r="B41" s="72" t="s">
        <v>1368</v>
      </c>
      <c r="C41" s="73" t="s">
        <v>37</v>
      </c>
      <c r="D41" s="74" t="s">
        <v>1257</v>
      </c>
      <c r="E41" s="13" t="str">
        <f>HYPERLINK("https://youtu.be/vJj2Xb2y_pg","channel 1")</f>
        <v>channel 1</v>
      </c>
    </row>
    <row r="42">
      <c r="B42" s="72" t="s">
        <v>1367</v>
      </c>
      <c r="C42" s="73" t="s">
        <v>47</v>
      </c>
      <c r="D42" s="74" t="s">
        <v>1369</v>
      </c>
      <c r="E42" s="66" t="str">
        <f>HYPERLINK("https://youtu.be/c_QH1keXQl0","channel 2")</f>
        <v>channel 2</v>
      </c>
    </row>
    <row r="43">
      <c r="B43" s="72" t="s">
        <v>1261</v>
      </c>
      <c r="C43" s="73" t="s">
        <v>210</v>
      </c>
      <c r="D43" s="74" t="s">
        <v>1257</v>
      </c>
      <c r="E43" s="13" t="str">
        <f>HYPERLINK("https://youtu.be/FyC-PO1ocLk","channel 1")</f>
        <v>channel 1</v>
      </c>
    </row>
    <row r="44">
      <c r="B44" s="72" t="s">
        <v>1368</v>
      </c>
      <c r="C44" s="73" t="s">
        <v>61</v>
      </c>
      <c r="D44" s="74" t="s">
        <v>1369</v>
      </c>
      <c r="E44" s="66" t="str">
        <f>HYPERLINK("https://youtu.be/5LONwsH8Nsg","channel 2")</f>
        <v>channel 2</v>
      </c>
    </row>
    <row r="45">
      <c r="B45" s="6" t="s">
        <v>546</v>
      </c>
      <c r="C45" s="3"/>
      <c r="D45" s="4"/>
      <c r="E45" s="89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659</v>
      </c>
      <c r="C47" s="70" t="s">
        <v>193</v>
      </c>
      <c r="D47" s="74" t="s">
        <v>777</v>
      </c>
      <c r="E47" s="13" t="str">
        <f>HYPERLINK("https://youtu.be/V85CG_s-Kmg","channel 1")</f>
        <v>channel 1</v>
      </c>
    </row>
    <row r="48">
      <c r="B48" s="72" t="s">
        <v>1135</v>
      </c>
      <c r="C48" s="73" t="s">
        <v>47</v>
      </c>
      <c r="D48" s="74" t="s">
        <v>1370</v>
      </c>
      <c r="E48" s="66" t="str">
        <f>HYPERLINK("https://youtu.be/5ko6G9gL_9Y","channel 2")</f>
        <v>channel 2</v>
      </c>
    </row>
    <row r="49">
      <c r="B49" s="72" t="s">
        <v>1371</v>
      </c>
      <c r="C49" s="73" t="s">
        <v>145</v>
      </c>
      <c r="D49" s="74" t="s">
        <v>659</v>
      </c>
      <c r="E49" s="13" t="str">
        <f>HYPERLINK("https://youtu.be/6Si0IA70Hus","channel 1")</f>
        <v>channel 1</v>
      </c>
    </row>
    <row r="50">
      <c r="B50" s="72" t="s">
        <v>1135</v>
      </c>
      <c r="C50" s="73" t="s">
        <v>296</v>
      </c>
      <c r="D50" s="74" t="s">
        <v>777</v>
      </c>
      <c r="E50" s="66" t="str">
        <f>HYPERLINK("https://youtu.be/X3SihWm9cZo","channel 2")</f>
        <v>channel 2</v>
      </c>
    </row>
    <row r="51">
      <c r="B51" s="72" t="s">
        <v>1371</v>
      </c>
      <c r="C51" s="73" t="s">
        <v>477</v>
      </c>
      <c r="D51" s="74" t="s">
        <v>1370</v>
      </c>
      <c r="E51" s="13" t="str">
        <f>HYPERLINK("https://youtu.be/6N53phQSJxA","channel 1")</f>
        <v>channel 1</v>
      </c>
    </row>
    <row r="52">
      <c r="B52" s="72" t="s">
        <v>1135</v>
      </c>
      <c r="C52" s="73" t="s">
        <v>47</v>
      </c>
      <c r="D52" s="74" t="s">
        <v>659</v>
      </c>
      <c r="E52" s="66" t="str">
        <f>HYPERLINK("https://youtu.be/xO8Bv2WroCo","channel 2")</f>
        <v>channel 2</v>
      </c>
    </row>
    <row r="53">
      <c r="B53" s="72" t="s">
        <v>1371</v>
      </c>
      <c r="C53" s="73" t="s">
        <v>104</v>
      </c>
      <c r="D53" s="74" t="s">
        <v>777</v>
      </c>
      <c r="E53" s="13" t="str">
        <f>HYPERLINK("https://youtu.be/PPCuB16oybw","channel 1")</f>
        <v>channel 1</v>
      </c>
    </row>
    <row r="54">
      <c r="B54" s="72" t="s">
        <v>1370</v>
      </c>
      <c r="C54" s="73" t="s">
        <v>337</v>
      </c>
      <c r="D54" s="74" t="s">
        <v>659</v>
      </c>
      <c r="E54" s="66" t="str">
        <f>HYPERLINK("https://youtu.be/cFEMvqyWQ6M","channel 2")</f>
        <v>channel 2</v>
      </c>
    </row>
    <row r="55">
      <c r="B55" s="72" t="s">
        <v>1371</v>
      </c>
      <c r="C55" s="73" t="s">
        <v>10</v>
      </c>
      <c r="D55" s="74" t="s">
        <v>1135</v>
      </c>
      <c r="E55" s="13" t="str">
        <f>HYPERLINK("https://youtu.be/yV2ZHNnAUAo","channel 1")</f>
        <v>channel 1</v>
      </c>
    </row>
    <row r="56">
      <c r="B56" s="72" t="s">
        <v>1370</v>
      </c>
      <c r="C56" s="73" t="s">
        <v>226</v>
      </c>
      <c r="D56" s="74" t="s">
        <v>777</v>
      </c>
      <c r="E56" s="66" t="str">
        <f>HYPERLINK("https://youtu.be/nKjO2PZNLxI","channel 2")</f>
        <v>channel 2</v>
      </c>
    </row>
    <row r="57">
      <c r="B57" s="72" t="s">
        <v>777</v>
      </c>
      <c r="C57" s="73" t="s">
        <v>97</v>
      </c>
      <c r="D57" s="74" t="s">
        <v>659</v>
      </c>
      <c r="E57" s="13" t="str">
        <f>HYPERLINK("https://youtu.be/OfwR6YLcV-M","channel 1")</f>
        <v>channel 1</v>
      </c>
    </row>
    <row r="58">
      <c r="B58" s="72" t="s">
        <v>1370</v>
      </c>
      <c r="C58" s="73" t="s">
        <v>49</v>
      </c>
      <c r="D58" s="74" t="s">
        <v>1135</v>
      </c>
      <c r="E58" s="66" t="str">
        <f>HYPERLINK("https://youtu.be/7jl_FMj8Xf8","channel 2")</f>
        <v>channel 2</v>
      </c>
    </row>
    <row r="59">
      <c r="B59" s="72" t="s">
        <v>659</v>
      </c>
      <c r="C59" s="73" t="s">
        <v>142</v>
      </c>
      <c r="D59" s="74" t="s">
        <v>1371</v>
      </c>
      <c r="E59" s="13" t="str">
        <f>HYPERLINK("https://youtu.be/kiTAf2US_Rc","channel 1")</f>
        <v>channel 1</v>
      </c>
    </row>
    <row r="60">
      <c r="B60" s="72" t="s">
        <v>777</v>
      </c>
      <c r="C60" s="73" t="s">
        <v>553</v>
      </c>
      <c r="D60" s="74" t="s">
        <v>1135</v>
      </c>
      <c r="E60" s="66" t="str">
        <f>HYPERLINK("https://youtu.be/rkEfAlcZpQE","channel 2")</f>
        <v>channel 2</v>
      </c>
    </row>
    <row r="61">
      <c r="B61" s="72" t="s">
        <v>1370</v>
      </c>
      <c r="C61" s="73" t="s">
        <v>97</v>
      </c>
      <c r="D61" s="74" t="s">
        <v>1371</v>
      </c>
      <c r="E61" s="13" t="str">
        <f>HYPERLINK("https://youtu.be/36uZqBiwT9U","channel 1")</f>
        <v>channel 1</v>
      </c>
    </row>
    <row r="62">
      <c r="B62" s="72" t="s">
        <v>659</v>
      </c>
      <c r="C62" s="73" t="s">
        <v>1372</v>
      </c>
      <c r="D62" s="74" t="s">
        <v>1135</v>
      </c>
      <c r="E62" s="66" t="str">
        <f>HYPERLINK("https://youtu.be/MWOBFC1oI8w","channel 2")</f>
        <v>channel 2</v>
      </c>
    </row>
    <row r="63">
      <c r="B63" s="72" t="s">
        <v>777</v>
      </c>
      <c r="C63" s="73" t="s">
        <v>32</v>
      </c>
      <c r="D63" s="74" t="s">
        <v>1371</v>
      </c>
      <c r="E63" s="13" t="str">
        <f>HYPERLINK("https://youtu.be/cXgOQy4qI-I","channel 1")</f>
        <v>channel 1</v>
      </c>
    </row>
    <row r="64">
      <c r="B64" s="72" t="s">
        <v>659</v>
      </c>
      <c r="C64" s="73" t="s">
        <v>1373</v>
      </c>
      <c r="D64" s="74" t="s">
        <v>1370</v>
      </c>
      <c r="E64" s="66" t="str">
        <f>HYPERLINK("https://youtu.be/Ksq9O27j7p8","channel 2")</f>
        <v>channel 2</v>
      </c>
    </row>
    <row r="65">
      <c r="B65" s="72" t="s">
        <v>1135</v>
      </c>
      <c r="C65" s="73" t="s">
        <v>84</v>
      </c>
      <c r="D65" s="74" t="s">
        <v>1371</v>
      </c>
      <c r="E65" s="13" t="str">
        <f>HYPERLINK("https://youtu.be/URkFlyqgSZI","channel 1")</f>
        <v>channel 1</v>
      </c>
    </row>
    <row r="66">
      <c r="B66" s="72" t="s">
        <v>777</v>
      </c>
      <c r="C66" s="73" t="s">
        <v>37</v>
      </c>
      <c r="D66" s="74" t="s">
        <v>1370</v>
      </c>
      <c r="E66" s="66" t="str">
        <f>HYPERLINK("https://youtu.be/fqQqHIyP9AU","channel 2")</f>
        <v>channel 2</v>
      </c>
    </row>
    <row r="67">
      <c r="B67" s="6" t="s">
        <v>240</v>
      </c>
      <c r="C67" s="3"/>
      <c r="D67" s="4"/>
      <c r="E67" s="89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1374</v>
      </c>
      <c r="C69" s="70" t="s">
        <v>97</v>
      </c>
      <c r="D69" s="74" t="s">
        <v>248</v>
      </c>
      <c r="E69" s="13" t="str">
        <f>HYPERLINK("https://youtu.be/6mq1-F53zmY","channel 1")</f>
        <v>channel 1</v>
      </c>
    </row>
    <row r="70">
      <c r="B70" s="72" t="s">
        <v>1375</v>
      </c>
      <c r="C70" s="73" t="s">
        <v>193</v>
      </c>
      <c r="D70" s="74" t="s">
        <v>717</v>
      </c>
      <c r="E70" s="66" t="str">
        <f>HYPERLINK("https://youtu.be/hgT5c3TOGGw","channel 2")</f>
        <v>channel 2</v>
      </c>
    </row>
    <row r="71">
      <c r="B71" s="72" t="s">
        <v>1376</v>
      </c>
      <c r="C71" s="73" t="s">
        <v>108</v>
      </c>
      <c r="D71" s="74" t="s">
        <v>1374</v>
      </c>
      <c r="E71" s="13" t="str">
        <f>HYPERLINK("https://youtu.be/3HesP6eqkq8","channel 1")</f>
        <v>channel 1</v>
      </c>
    </row>
    <row r="72">
      <c r="B72" s="72" t="s">
        <v>1375</v>
      </c>
      <c r="C72" s="73" t="s">
        <v>103</v>
      </c>
      <c r="D72" s="74" t="s">
        <v>248</v>
      </c>
      <c r="E72" s="66" t="str">
        <f>HYPERLINK("https://youtu.be/XoYiVf-lOgs","channel 2")</f>
        <v>channel 2</v>
      </c>
    </row>
    <row r="73">
      <c r="B73" s="72" t="s">
        <v>1376</v>
      </c>
      <c r="C73" s="73" t="s">
        <v>46</v>
      </c>
      <c r="D73" s="74" t="s">
        <v>717</v>
      </c>
      <c r="E73" s="13" t="str">
        <f>HYPERLINK("https://youtu.be/X0R9d1JuNPM","channel 1")</f>
        <v>channel 1</v>
      </c>
    </row>
    <row r="74">
      <c r="B74" s="72" t="s">
        <v>1375</v>
      </c>
      <c r="C74" s="73" t="s">
        <v>89</v>
      </c>
      <c r="D74" s="74" t="s">
        <v>1374</v>
      </c>
      <c r="E74" s="66" t="str">
        <f>HYPERLINK("https://youtu.be/QPyb81vPNaU","channel 2")</f>
        <v>channel 2</v>
      </c>
    </row>
    <row r="75">
      <c r="B75" s="72" t="s">
        <v>1376</v>
      </c>
      <c r="C75" s="73" t="s">
        <v>255</v>
      </c>
      <c r="D75" s="74" t="s">
        <v>248</v>
      </c>
      <c r="E75" s="13" t="str">
        <f>HYPERLINK("https://youtu.be/rgFkjN4Alho","channel 1")</f>
        <v>channel 1</v>
      </c>
    </row>
    <row r="76">
      <c r="B76" s="72" t="s">
        <v>717</v>
      </c>
      <c r="C76" s="73" t="s">
        <v>141</v>
      </c>
      <c r="D76" s="74" t="s">
        <v>1374</v>
      </c>
      <c r="E76" s="66" t="str">
        <f>HYPERLINK("https://youtu.be/yLPKlHRBmeY","channel 2")</f>
        <v>channel 2</v>
      </c>
    </row>
    <row r="77">
      <c r="B77" s="72" t="s">
        <v>1376</v>
      </c>
      <c r="C77" s="73" t="s">
        <v>97</v>
      </c>
      <c r="D77" s="74" t="s">
        <v>1375</v>
      </c>
      <c r="E77" s="13" t="str">
        <f>HYPERLINK("https://youtu.be/TSK98HDa1RU","channel 1")</f>
        <v>channel 1</v>
      </c>
    </row>
    <row r="78">
      <c r="B78" s="72" t="s">
        <v>717</v>
      </c>
      <c r="C78" s="73" t="s">
        <v>148</v>
      </c>
      <c r="D78" s="74" t="s">
        <v>248</v>
      </c>
      <c r="E78" s="66" t="str">
        <f>HYPERLINK("https://youtu.be/ZtghG73mEwg","channel 2")</f>
        <v>channel 2</v>
      </c>
    </row>
    <row r="79">
      <c r="B79" s="72" t="s">
        <v>248</v>
      </c>
      <c r="C79" s="73" t="s">
        <v>111</v>
      </c>
      <c r="D79" s="74" t="s">
        <v>1374</v>
      </c>
      <c r="E79" s="13" t="str">
        <f>HYPERLINK("https://youtu.be/61mvepC4cO8","channel 1")</f>
        <v>channel 1</v>
      </c>
    </row>
    <row r="80">
      <c r="B80" s="72" t="s">
        <v>717</v>
      </c>
      <c r="C80" s="73" t="s">
        <v>160</v>
      </c>
      <c r="D80" s="74" t="s">
        <v>1375</v>
      </c>
      <c r="E80" s="66" t="str">
        <f>HYPERLINK("https://youtu.be/PqbCxNZTCrM","channel 2")</f>
        <v>channel 2</v>
      </c>
    </row>
    <row r="81">
      <c r="B81" s="72" t="s">
        <v>1374</v>
      </c>
      <c r="C81" s="73" t="s">
        <v>99</v>
      </c>
      <c r="D81" s="74" t="s">
        <v>1376</v>
      </c>
      <c r="E81" s="13" t="str">
        <f>HYPERLINK("https://youtu.be/fETTg1CFHKY","channel 1")</f>
        <v>channel 1</v>
      </c>
    </row>
    <row r="82">
      <c r="B82" s="72" t="s">
        <v>248</v>
      </c>
      <c r="C82" s="73" t="s">
        <v>101</v>
      </c>
      <c r="D82" s="74" t="s">
        <v>1375</v>
      </c>
      <c r="E82" s="66" t="str">
        <f>HYPERLINK("https://youtu.be/G3WzKnwWsXs","channel 2")</f>
        <v>channel 2</v>
      </c>
    </row>
    <row r="83">
      <c r="B83" s="72" t="s">
        <v>717</v>
      </c>
      <c r="C83" s="73" t="s">
        <v>84</v>
      </c>
      <c r="D83" s="74" t="s">
        <v>1376</v>
      </c>
      <c r="E83" s="13" t="str">
        <f>HYPERLINK("https://youtu.be/h4-CVVnxr7A","channel 1")</f>
        <v>channel 1</v>
      </c>
    </row>
    <row r="84">
      <c r="B84" s="72" t="s">
        <v>1374</v>
      </c>
      <c r="C84" s="73" t="s">
        <v>343</v>
      </c>
      <c r="D84" s="74" t="s">
        <v>1375</v>
      </c>
      <c r="E84" s="66" t="str">
        <f>HYPERLINK("https://youtu.be/MNdClWk0HvU","channel 2")</f>
        <v>channel 2</v>
      </c>
    </row>
    <row r="85">
      <c r="B85" s="72" t="s">
        <v>248</v>
      </c>
      <c r="C85" s="73" t="s">
        <v>10</v>
      </c>
      <c r="D85" s="74" t="s">
        <v>1376</v>
      </c>
      <c r="E85" s="13" t="str">
        <f>HYPERLINK("https://youtu.be/DNIFP9P6jQ0","channel 1")</f>
        <v>channel 1</v>
      </c>
    </row>
    <row r="86">
      <c r="B86" s="72" t="s">
        <v>1374</v>
      </c>
      <c r="C86" s="73" t="s">
        <v>89</v>
      </c>
      <c r="D86" s="74" t="s">
        <v>717</v>
      </c>
      <c r="E86" s="66" t="str">
        <f>HYPERLINK("https://youtu.be/psGZR-2BHj4","channel 2")</f>
        <v>channel 2</v>
      </c>
    </row>
    <row r="87">
      <c r="B87" s="72" t="s">
        <v>1375</v>
      </c>
      <c r="C87" s="73" t="s">
        <v>59</v>
      </c>
      <c r="D87" s="74" t="s">
        <v>1376</v>
      </c>
      <c r="E87" s="13" t="str">
        <f>HYPERLINK("https://youtu.be/f7nsMEjnTIc","channel 1")</f>
        <v>channel 1</v>
      </c>
    </row>
    <row r="88">
      <c r="B88" s="72" t="s">
        <v>248</v>
      </c>
      <c r="C88" s="73" t="s">
        <v>1377</v>
      </c>
      <c r="D88" s="74" t="s">
        <v>717</v>
      </c>
      <c r="E88" s="66" t="str">
        <f>HYPERLINK("https://youtu.be/A8QP8Bg_-R4","channel 2")</f>
        <v>channel 2</v>
      </c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1378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1379</v>
      </c>
      <c r="C3" s="70" t="s">
        <v>876</v>
      </c>
      <c r="D3" s="71" t="s">
        <v>1380</v>
      </c>
      <c r="E3" s="13" t="str">
        <f>HYPERLINK("https://youtu.be/o5r7PtbWdls","channel 1")</f>
        <v>channel 1</v>
      </c>
    </row>
    <row r="4">
      <c r="B4" s="72" t="s">
        <v>1172</v>
      </c>
      <c r="C4" s="73" t="s">
        <v>145</v>
      </c>
      <c r="D4" s="74" t="s">
        <v>1381</v>
      </c>
      <c r="E4" s="66" t="str">
        <f>HYPERLINK("https://youtu.be/_A-vVV8XvVQ","channel 2")</f>
        <v>channel 2</v>
      </c>
    </row>
    <row r="5">
      <c r="B5" s="72" t="s">
        <v>840</v>
      </c>
      <c r="C5" s="73" t="s">
        <v>347</v>
      </c>
      <c r="D5" s="74" t="s">
        <v>1379</v>
      </c>
      <c r="E5" s="13" t="str">
        <f>HYPERLINK("https://youtu.be/F5t97bIGkcQ","channel 1")</f>
        <v>channel 1</v>
      </c>
    </row>
    <row r="6">
      <c r="B6" s="72" t="s">
        <v>1172</v>
      </c>
      <c r="C6" s="73" t="s">
        <v>108</v>
      </c>
      <c r="D6" s="74" t="s">
        <v>1380</v>
      </c>
      <c r="E6" s="66" t="str">
        <f>HYPERLINK("https://youtu.be/FeLbH4eZkwk","channel 2")</f>
        <v>channel 2</v>
      </c>
    </row>
    <row r="7">
      <c r="B7" s="72" t="s">
        <v>840</v>
      </c>
      <c r="C7" s="73" t="s">
        <v>179</v>
      </c>
      <c r="D7" s="74" t="s">
        <v>1381</v>
      </c>
      <c r="E7" s="13" t="str">
        <f>HYPERLINK("https://youtu.be/YHGwARxX2z4","channel 1")</f>
        <v>channel 1</v>
      </c>
    </row>
    <row r="8">
      <c r="B8" s="72" t="s">
        <v>1172</v>
      </c>
      <c r="C8" s="73" t="s">
        <v>108</v>
      </c>
      <c r="D8" s="74" t="s">
        <v>1379</v>
      </c>
      <c r="E8" s="66" t="str">
        <f>HYPERLINK("https://youtu.be/JprB-FSmH2E","channel 2")</f>
        <v>channel 2</v>
      </c>
    </row>
    <row r="9">
      <c r="B9" s="72" t="s">
        <v>840</v>
      </c>
      <c r="C9" s="73" t="s">
        <v>90</v>
      </c>
      <c r="D9" s="74" t="s">
        <v>1380</v>
      </c>
      <c r="E9" s="13" t="str">
        <f>HYPERLINK("https://youtu.be/zzzEZzFVNH0","channel 1")</f>
        <v>channel 1</v>
      </c>
    </row>
    <row r="10">
      <c r="B10" s="72" t="s">
        <v>1381</v>
      </c>
      <c r="C10" s="73" t="s">
        <v>109</v>
      </c>
      <c r="D10" s="74" t="s">
        <v>1379</v>
      </c>
      <c r="E10" s="66" t="str">
        <f>HYPERLINK("https://youtu.be/XGy2Gt5Oyos","channel 2")</f>
        <v>channel 2</v>
      </c>
    </row>
    <row r="11">
      <c r="B11" s="72" t="s">
        <v>840</v>
      </c>
      <c r="C11" s="73" t="s">
        <v>1382</v>
      </c>
      <c r="D11" s="74" t="s">
        <v>1172</v>
      </c>
      <c r="E11" s="13" t="str">
        <f>HYPERLINK("https://youtu.be/C7hAaoBEN9w","channel 1")</f>
        <v>channel 1</v>
      </c>
    </row>
    <row r="12">
      <c r="B12" s="72" t="s">
        <v>1381</v>
      </c>
      <c r="C12" s="73" t="s">
        <v>11</v>
      </c>
      <c r="D12" s="74" t="s">
        <v>1380</v>
      </c>
      <c r="E12" s="66" t="str">
        <f>HYPERLINK("https://youtu.be/GL7fvsQgPe8","channel 2")</f>
        <v>channel 2</v>
      </c>
    </row>
    <row r="13">
      <c r="B13" s="72" t="s">
        <v>1380</v>
      </c>
      <c r="C13" s="73" t="s">
        <v>109</v>
      </c>
      <c r="D13" s="74" t="s">
        <v>1379</v>
      </c>
      <c r="E13" s="13" t="str">
        <f>HYPERLINK("https://youtu.be/6H7X_UcvTwI","channel 1")</f>
        <v>channel 1</v>
      </c>
    </row>
    <row r="14">
      <c r="B14" s="72" t="s">
        <v>1381</v>
      </c>
      <c r="C14" s="73" t="s">
        <v>37</v>
      </c>
      <c r="D14" s="74" t="s">
        <v>1172</v>
      </c>
      <c r="E14" s="66" t="str">
        <f>HYPERLINK("https://youtu.be/UFanh5a2RFc","channel 2")</f>
        <v>channel 2</v>
      </c>
    </row>
    <row r="15">
      <c r="B15" s="72" t="s">
        <v>1379</v>
      </c>
      <c r="C15" s="73" t="s">
        <v>375</v>
      </c>
      <c r="D15" s="74" t="s">
        <v>840</v>
      </c>
      <c r="E15" s="13" t="str">
        <f>HYPERLINK("https://youtu.be/qGK8DQ9fGjE","channel 1")</f>
        <v>channel 1</v>
      </c>
    </row>
    <row r="16">
      <c r="B16" s="72" t="s">
        <v>1380</v>
      </c>
      <c r="C16" s="73" t="s">
        <v>285</v>
      </c>
      <c r="D16" s="74" t="s">
        <v>1172</v>
      </c>
      <c r="E16" s="66" t="str">
        <f>HYPERLINK("https://youtu.be/30M_1CgvNEU","channel 2")</f>
        <v>channel 2</v>
      </c>
    </row>
    <row r="17">
      <c r="B17" s="72" t="s">
        <v>1381</v>
      </c>
      <c r="C17" s="73" t="s">
        <v>460</v>
      </c>
      <c r="D17" s="74" t="s">
        <v>840</v>
      </c>
      <c r="E17" s="13" t="str">
        <f>HYPERLINK("https://youtu.be/A8r6efo96v8","channel 1")</f>
        <v>channel 1</v>
      </c>
    </row>
    <row r="18">
      <c r="B18" s="72" t="s">
        <v>1379</v>
      </c>
      <c r="C18" s="73" t="s">
        <v>180</v>
      </c>
      <c r="D18" s="74" t="s">
        <v>1172</v>
      </c>
      <c r="E18" s="66" t="str">
        <f>HYPERLINK("https://youtu.be/PpQSAmdrH7A","channel 2")</f>
        <v>channel 2</v>
      </c>
    </row>
    <row r="19">
      <c r="B19" s="72" t="s">
        <v>1380</v>
      </c>
      <c r="C19" s="73" t="s">
        <v>232</v>
      </c>
      <c r="D19" s="74" t="s">
        <v>840</v>
      </c>
      <c r="E19" s="13" t="str">
        <f>HYPERLINK("https://youtu.be/rzOqh4ETIm4","channel 1")</f>
        <v>channel 1</v>
      </c>
    </row>
    <row r="20">
      <c r="B20" s="72" t="s">
        <v>1379</v>
      </c>
      <c r="C20" s="73" t="s">
        <v>61</v>
      </c>
      <c r="D20" s="74" t="s">
        <v>1381</v>
      </c>
      <c r="E20" s="66" t="str">
        <f>HYPERLINK("https://youtu.be/SoehULYNFls","channel 2")</f>
        <v>channel 2</v>
      </c>
    </row>
    <row r="21">
      <c r="B21" s="72" t="s">
        <v>1172</v>
      </c>
      <c r="C21" s="73" t="s">
        <v>104</v>
      </c>
      <c r="D21" s="74" t="s">
        <v>840</v>
      </c>
      <c r="E21" s="13" t="str">
        <f>HYPERLINK("https://youtu.be/0__04TAh2g8","channel 1")</f>
        <v>channel 1</v>
      </c>
    </row>
    <row r="22">
      <c r="B22" s="72" t="s">
        <v>1380</v>
      </c>
      <c r="C22" s="73" t="s">
        <v>56</v>
      </c>
      <c r="D22" s="74" t="s">
        <v>1381</v>
      </c>
      <c r="E22" s="66" t="str">
        <f>HYPERLINK("https://youtu.be/ia1tu1jZViI","channel 2")</f>
        <v>channel 2</v>
      </c>
    </row>
    <row r="23">
      <c r="B23" s="88" t="s">
        <v>1337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1383</v>
      </c>
      <c r="C25" s="73" t="s">
        <v>74</v>
      </c>
      <c r="D25" s="74" t="s">
        <v>1384</v>
      </c>
      <c r="E25" s="13" t="str">
        <f>HYPERLINK("https://youtu.be/DRg58_iOdlI","channel 1")</f>
        <v>channel 1</v>
      </c>
    </row>
    <row r="26">
      <c r="B26" s="72" t="s">
        <v>1385</v>
      </c>
      <c r="C26" s="73" t="s">
        <v>160</v>
      </c>
      <c r="D26" s="74" t="s">
        <v>1251</v>
      </c>
      <c r="E26" s="66" t="str">
        <f>HYPERLINK("https://youtu.be/VqPtQjRXZEE","channel 2")</f>
        <v>channel 2</v>
      </c>
    </row>
    <row r="27">
      <c r="B27" s="72" t="s">
        <v>540</v>
      </c>
      <c r="C27" s="73" t="s">
        <v>460</v>
      </c>
      <c r="D27" s="74" t="s">
        <v>1383</v>
      </c>
      <c r="E27" s="13" t="str">
        <f>HYPERLINK("https://youtu.be/_2ZoLf-k5xM","channel 1")</f>
        <v>channel 1</v>
      </c>
    </row>
    <row r="28">
      <c r="B28" s="72" t="s">
        <v>1385</v>
      </c>
      <c r="C28" s="73" t="s">
        <v>160</v>
      </c>
      <c r="D28" s="74" t="s">
        <v>1384</v>
      </c>
      <c r="E28" s="66" t="str">
        <f>HYPERLINK("https://youtu.be/yyX6mOyHXBw","channel 2")</f>
        <v>channel 2</v>
      </c>
    </row>
    <row r="29">
      <c r="B29" s="72" t="s">
        <v>540</v>
      </c>
      <c r="C29" s="73" t="s">
        <v>106</v>
      </c>
      <c r="D29" s="74" t="s">
        <v>1251</v>
      </c>
      <c r="E29" s="13" t="str">
        <f>HYPERLINK("https://youtu.be/PIybCQcXp6k","channel 1")</f>
        <v>channel 1</v>
      </c>
    </row>
    <row r="30">
      <c r="B30" s="72" t="s">
        <v>1385</v>
      </c>
      <c r="C30" s="73" t="s">
        <v>157</v>
      </c>
      <c r="D30" s="74" t="s">
        <v>1383</v>
      </c>
      <c r="E30" s="66" t="str">
        <f>HYPERLINK("https://youtu.be/FVDjnYYnWxU","channel 2")</f>
        <v>channel 2</v>
      </c>
    </row>
    <row r="31">
      <c r="B31" s="72" t="s">
        <v>540</v>
      </c>
      <c r="C31" s="73" t="s">
        <v>477</v>
      </c>
      <c r="D31" s="74" t="s">
        <v>1384</v>
      </c>
      <c r="E31" s="13" t="str">
        <f>HYPERLINK("https://youtu.be/mYJzgHbg-zM","channel 1")</f>
        <v>channel 1</v>
      </c>
    </row>
    <row r="32">
      <c r="B32" s="72" t="s">
        <v>1251</v>
      </c>
      <c r="C32" s="73" t="s">
        <v>80</v>
      </c>
      <c r="D32" s="74" t="s">
        <v>1383</v>
      </c>
      <c r="E32" s="66" t="str">
        <f>HYPERLINK("https://youtu.be/yzl_PsCHLmM","channel 2")</f>
        <v>channel 2</v>
      </c>
    </row>
    <row r="33">
      <c r="B33" s="72" t="s">
        <v>540</v>
      </c>
      <c r="C33" s="73" t="s">
        <v>522</v>
      </c>
      <c r="D33" s="74" t="s">
        <v>1385</v>
      </c>
      <c r="E33" s="13" t="str">
        <f>HYPERLINK("https://youtu.be/9lLccTPI2Lw","channel 1")</f>
        <v>channel 1</v>
      </c>
    </row>
    <row r="34">
      <c r="B34" s="72" t="s">
        <v>1251</v>
      </c>
      <c r="C34" s="73" t="s">
        <v>188</v>
      </c>
      <c r="D34" s="74" t="s">
        <v>1384</v>
      </c>
      <c r="E34" s="66" t="str">
        <f>HYPERLINK("https://youtu.be/AkoL6WKilxo","channel 2")</f>
        <v>channel 2</v>
      </c>
    </row>
    <row r="35">
      <c r="B35" s="72" t="s">
        <v>1384</v>
      </c>
      <c r="C35" s="73" t="s">
        <v>20</v>
      </c>
      <c r="D35" s="74" t="s">
        <v>1383</v>
      </c>
      <c r="E35" s="13" t="str">
        <f>HYPERLINK("https://youtu.be/R70xT-SrFes","channel 1")</f>
        <v>channel 1</v>
      </c>
    </row>
    <row r="36">
      <c r="B36" s="72" t="s">
        <v>1251</v>
      </c>
      <c r="C36" s="73" t="s">
        <v>37</v>
      </c>
      <c r="D36" s="74" t="s">
        <v>1385</v>
      </c>
      <c r="E36" s="66" t="str">
        <f>HYPERLINK("https://youtu.be/xHg-PRgvDYw","channel 2")</f>
        <v>channel 2</v>
      </c>
    </row>
    <row r="37">
      <c r="B37" s="72" t="s">
        <v>1383</v>
      </c>
      <c r="C37" s="73" t="s">
        <v>47</v>
      </c>
      <c r="D37" s="74" t="s">
        <v>540</v>
      </c>
      <c r="E37" s="13" t="str">
        <f>HYPERLINK("https://youtu.be/SG6ivxr2quA","channel 1")</f>
        <v>channel 1</v>
      </c>
    </row>
    <row r="38">
      <c r="B38" s="72" t="s">
        <v>1384</v>
      </c>
      <c r="C38" s="73" t="s">
        <v>494</v>
      </c>
      <c r="D38" s="74" t="s">
        <v>1385</v>
      </c>
      <c r="E38" s="66" t="str">
        <f>HYPERLINK("https://youtu.be/QPoB5T__ZBw","channel 2")</f>
        <v>channel 2</v>
      </c>
    </row>
    <row r="39">
      <c r="B39" s="72" t="s">
        <v>1251</v>
      </c>
      <c r="C39" s="73" t="s">
        <v>89</v>
      </c>
      <c r="D39" s="74" t="s">
        <v>540</v>
      </c>
      <c r="E39" s="13" t="str">
        <f>HYPERLINK("https://youtu.be/dUqn-ywgEcI","channel 1")</f>
        <v>channel 1</v>
      </c>
    </row>
    <row r="40">
      <c r="B40" s="72" t="s">
        <v>1383</v>
      </c>
      <c r="C40" s="73" t="s">
        <v>538</v>
      </c>
      <c r="D40" s="74" t="s">
        <v>1385</v>
      </c>
      <c r="E40" s="66" t="str">
        <f>HYPERLINK("https://youtu.be/KqM3DUbJgsI","channel 2")</f>
        <v>channel 2</v>
      </c>
    </row>
    <row r="41">
      <c r="B41" s="72" t="s">
        <v>1384</v>
      </c>
      <c r="C41" s="73" t="s">
        <v>1386</v>
      </c>
      <c r="D41" s="74" t="s">
        <v>540</v>
      </c>
      <c r="E41" s="13" t="str">
        <f>HYPERLINK("https://youtu.be/7_Uhc81dErk","channel 1")</f>
        <v>channel 1</v>
      </c>
    </row>
    <row r="42">
      <c r="B42" s="72" t="s">
        <v>1383</v>
      </c>
      <c r="C42" s="73" t="s">
        <v>156</v>
      </c>
      <c r="D42" s="74" t="s">
        <v>1251</v>
      </c>
      <c r="E42" s="66" t="str">
        <f>HYPERLINK("https://youtu.be/S1b3RDwRRFY","channel 2")</f>
        <v>channel 2</v>
      </c>
    </row>
    <row r="43">
      <c r="B43" s="72" t="s">
        <v>1385</v>
      </c>
      <c r="C43" s="73" t="s">
        <v>97</v>
      </c>
      <c r="D43" s="74" t="s">
        <v>540</v>
      </c>
      <c r="E43" s="13" t="str">
        <f>HYPERLINK("https://youtu.be/lKUAKh-Q9fk","channel 1")</f>
        <v>channel 1</v>
      </c>
    </row>
    <row r="44">
      <c r="B44" s="72" t="s">
        <v>1384</v>
      </c>
      <c r="C44" s="73" t="s">
        <v>85</v>
      </c>
      <c r="D44" s="74" t="s">
        <v>1251</v>
      </c>
      <c r="E44" s="66" t="str">
        <f>HYPERLINK("https://youtu.be/5S88gfGiiUU","channel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1387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474</v>
      </c>
      <c r="C3" s="70" t="s">
        <v>304</v>
      </c>
      <c r="D3" s="85" t="s">
        <v>473</v>
      </c>
      <c r="E3" s="13" t="str">
        <f>HYPERLINK("https://youtu.be/kHAKuFs7Ux8","channel 1")</f>
        <v>channel 1</v>
      </c>
    </row>
    <row r="4">
      <c r="B4" s="79" t="s">
        <v>1388</v>
      </c>
      <c r="C4" s="73" t="s">
        <v>90</v>
      </c>
      <c r="D4" s="86" t="s">
        <v>536</v>
      </c>
      <c r="E4" s="66" t="str">
        <f>HYPERLINK("https://youtu.be/YOJgod_l6bM","channel 2")</f>
        <v>channel 2</v>
      </c>
    </row>
    <row r="5">
      <c r="B5" s="79" t="s">
        <v>1389</v>
      </c>
      <c r="C5" s="73" t="s">
        <v>24</v>
      </c>
      <c r="D5" s="86" t="s">
        <v>474</v>
      </c>
      <c r="E5" s="13" t="str">
        <f>HYPERLINK("https://youtu.be/z_GvTeyyoxk","channel 1")</f>
        <v>channel 1</v>
      </c>
    </row>
    <row r="6">
      <c r="B6" s="79" t="s">
        <v>1388</v>
      </c>
      <c r="C6" s="73" t="s">
        <v>495</v>
      </c>
      <c r="D6" s="86" t="s">
        <v>473</v>
      </c>
      <c r="E6" s="66" t="str">
        <f>HYPERLINK("https://youtu.be/QvbuHaEtI1A","channel 2")</f>
        <v>channel 2</v>
      </c>
    </row>
    <row r="7">
      <c r="B7" s="79" t="s">
        <v>1389</v>
      </c>
      <c r="C7" s="73" t="s">
        <v>145</v>
      </c>
      <c r="D7" s="86" t="s">
        <v>536</v>
      </c>
      <c r="E7" s="13" t="str">
        <f>HYPERLINK("https://youtu.be/c7WisvyDRU4","channel 1")</f>
        <v>channel 1</v>
      </c>
    </row>
    <row r="8">
      <c r="B8" s="79" t="s">
        <v>1388</v>
      </c>
      <c r="C8" s="73" t="s">
        <v>230</v>
      </c>
      <c r="D8" s="86" t="s">
        <v>474</v>
      </c>
      <c r="E8" s="66" t="str">
        <f>HYPERLINK("https://youtu.be/gYopv6ICbko","channel 2")</f>
        <v>channel 2</v>
      </c>
    </row>
    <row r="9">
      <c r="B9" s="79" t="s">
        <v>1389</v>
      </c>
      <c r="C9" s="73" t="s">
        <v>35</v>
      </c>
      <c r="D9" s="86" t="s">
        <v>473</v>
      </c>
      <c r="E9" s="13" t="str">
        <f>HYPERLINK("https://youtu.be/8iwuRbANRlQ","channel 1")</f>
        <v>channel 1</v>
      </c>
    </row>
    <row r="10">
      <c r="B10" s="79" t="s">
        <v>536</v>
      </c>
      <c r="C10" s="73" t="s">
        <v>116</v>
      </c>
      <c r="D10" s="86" t="s">
        <v>474</v>
      </c>
      <c r="E10" s="66" t="str">
        <f>HYPERLINK("https://youtu.be/tJJonQj58HI","channel 2")</f>
        <v>channel 2</v>
      </c>
    </row>
    <row r="11">
      <c r="B11" s="79" t="s">
        <v>1389</v>
      </c>
      <c r="C11" s="73" t="s">
        <v>37</v>
      </c>
      <c r="D11" s="86" t="s">
        <v>1388</v>
      </c>
      <c r="E11" s="13" t="str">
        <f>HYPERLINK("https://youtu.be/yj_pHiQqrDY","channel 1")</f>
        <v>channel 1</v>
      </c>
    </row>
    <row r="12">
      <c r="B12" s="79" t="s">
        <v>536</v>
      </c>
      <c r="C12" s="73" t="s">
        <v>87</v>
      </c>
      <c r="D12" s="86" t="s">
        <v>473</v>
      </c>
      <c r="E12" s="66" t="str">
        <f>HYPERLINK("https://youtu.be/zzDS-rIrhpE","channel 2")</f>
        <v>channel 2</v>
      </c>
    </row>
    <row r="13">
      <c r="B13" s="79" t="s">
        <v>473</v>
      </c>
      <c r="C13" s="73" t="s">
        <v>347</v>
      </c>
      <c r="D13" s="86" t="s">
        <v>474</v>
      </c>
      <c r="E13" s="13" t="str">
        <f>HYPERLINK("https://youtu.be/8Xeqx6jky3Q","channel 1")</f>
        <v>channel 1</v>
      </c>
    </row>
    <row r="14">
      <c r="B14" s="79" t="s">
        <v>536</v>
      </c>
      <c r="C14" s="73" t="s">
        <v>408</v>
      </c>
      <c r="D14" s="86" t="s">
        <v>1388</v>
      </c>
      <c r="E14" s="66" t="str">
        <f>HYPERLINK("https://youtu.be/HBMIWA6ZjPg","channel 2")</f>
        <v>channel 2</v>
      </c>
    </row>
    <row r="15">
      <c r="B15" s="79" t="s">
        <v>474</v>
      </c>
      <c r="C15" s="73" t="s">
        <v>109</v>
      </c>
      <c r="D15" s="86" t="s">
        <v>1389</v>
      </c>
      <c r="E15" s="13" t="str">
        <f>HYPERLINK("https://youtu.be/aDTWHPJ7-lU","channel 1")</f>
        <v>channel 1</v>
      </c>
    </row>
    <row r="16">
      <c r="B16" s="79" t="s">
        <v>473</v>
      </c>
      <c r="C16" s="73" t="s">
        <v>470</v>
      </c>
      <c r="D16" s="86" t="s">
        <v>1388</v>
      </c>
      <c r="E16" s="66" t="str">
        <f>HYPERLINK("https://youtu.be/ezVw_X1xjSE","channel 2")</f>
        <v>channel 2</v>
      </c>
    </row>
    <row r="17">
      <c r="B17" s="79" t="s">
        <v>536</v>
      </c>
      <c r="C17" s="73" t="s">
        <v>99</v>
      </c>
      <c r="D17" s="86" t="s">
        <v>1389</v>
      </c>
      <c r="E17" s="13" t="str">
        <f>HYPERLINK("https://youtu.be/rfmDMTH5xIQ","channel 1")</f>
        <v>channel 1</v>
      </c>
    </row>
    <row r="18">
      <c r="B18" s="79" t="s">
        <v>474</v>
      </c>
      <c r="C18" s="73" t="s">
        <v>759</v>
      </c>
      <c r="D18" s="86" t="s">
        <v>1388</v>
      </c>
      <c r="E18" s="66" t="str">
        <f>HYPERLINK("https://youtu.be/623AN3xik-w","channel 2")</f>
        <v>channel 2</v>
      </c>
    </row>
    <row r="19">
      <c r="B19" s="79" t="s">
        <v>473</v>
      </c>
      <c r="C19" s="73" t="s">
        <v>109</v>
      </c>
      <c r="D19" s="86" t="s">
        <v>1389</v>
      </c>
      <c r="E19" s="13" t="str">
        <f>HYPERLINK("https://youtu.be/iXRrR9MhFBw","channel 1")</f>
        <v>channel 1</v>
      </c>
    </row>
    <row r="20">
      <c r="B20" s="79" t="s">
        <v>474</v>
      </c>
      <c r="C20" s="73" t="s">
        <v>319</v>
      </c>
      <c r="D20" s="86" t="s">
        <v>536</v>
      </c>
      <c r="E20" s="66" t="str">
        <f>HYPERLINK("https://youtu.be/Q7Z0Kr5lWjo","channel 2")</f>
        <v>channel 2</v>
      </c>
    </row>
    <row r="21">
      <c r="B21" s="79" t="s">
        <v>1388</v>
      </c>
      <c r="C21" s="73" t="s">
        <v>18</v>
      </c>
      <c r="D21" s="86" t="s">
        <v>1389</v>
      </c>
      <c r="E21" s="13" t="str">
        <f>HYPERLINK("https://youtu.be/8KxRch33o_0","channel 1")</f>
        <v>channel 1</v>
      </c>
    </row>
    <row r="22">
      <c r="B22" s="79" t="s">
        <v>473</v>
      </c>
      <c r="C22" s="73" t="s">
        <v>106</v>
      </c>
      <c r="D22" s="86" t="s">
        <v>536</v>
      </c>
      <c r="E22" s="66" t="str">
        <f>HYPERLINK("https://youtu.be/dT-wlfyuIRI","channel 2")</f>
        <v>channel 2</v>
      </c>
    </row>
    <row r="23">
      <c r="B23" s="58" t="s">
        <v>1390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1116</v>
      </c>
      <c r="C25" s="70" t="s">
        <v>111</v>
      </c>
      <c r="D25" s="71" t="s">
        <v>1083</v>
      </c>
      <c r="E25" s="13" t="str">
        <f>HYPERLINK("https://www.youtube.com/watch?v=pIH1hNwdJag","channel 1")</f>
        <v>channel 1</v>
      </c>
    </row>
    <row r="26">
      <c r="B26" s="72" t="s">
        <v>1312</v>
      </c>
      <c r="C26" s="73" t="s">
        <v>99</v>
      </c>
      <c r="D26" s="74" t="s">
        <v>1352</v>
      </c>
      <c r="E26" s="66" t="str">
        <f>HYPERLINK("https://youtu.be/pDOMLJpz5R0","channel 2")</f>
        <v>channel 2</v>
      </c>
    </row>
    <row r="27">
      <c r="B27" s="72" t="s">
        <v>768</v>
      </c>
      <c r="C27" s="73" t="s">
        <v>124</v>
      </c>
      <c r="D27" s="74" t="s">
        <v>1116</v>
      </c>
      <c r="E27" s="13" t="str">
        <f>HYPERLINK("https://youtu.be/hcvgVTQiEi4","channel 1")</f>
        <v>channel 1</v>
      </c>
    </row>
    <row r="28">
      <c r="B28" s="72" t="s">
        <v>1312</v>
      </c>
      <c r="C28" s="73" t="s">
        <v>911</v>
      </c>
      <c r="D28" s="74" t="s">
        <v>1083</v>
      </c>
      <c r="E28" s="66" t="str">
        <f>HYPERLINK("https://youtu.be/AeGhZYdssQI","channel 2")</f>
        <v>channel 2</v>
      </c>
    </row>
    <row r="29">
      <c r="B29" s="72" t="s">
        <v>768</v>
      </c>
      <c r="C29" s="73" t="s">
        <v>44</v>
      </c>
      <c r="D29" s="74" t="s">
        <v>1352</v>
      </c>
      <c r="E29" s="13" t="str">
        <f>HYPERLINK("https://youtu.be/yv6-2T4gjR0","channel 1")</f>
        <v>channel 1</v>
      </c>
    </row>
    <row r="30">
      <c r="B30" s="72" t="s">
        <v>1312</v>
      </c>
      <c r="C30" s="73" t="s">
        <v>190</v>
      </c>
      <c r="D30" s="74" t="s">
        <v>1116</v>
      </c>
      <c r="E30" s="66" t="str">
        <f>HYPERLINK("https://youtu.be/_IXIE2uzfuI","channel 2")</f>
        <v>channel 2</v>
      </c>
    </row>
    <row r="31">
      <c r="B31" s="72" t="s">
        <v>768</v>
      </c>
      <c r="C31" s="73" t="s">
        <v>89</v>
      </c>
      <c r="D31" s="74" t="s">
        <v>1083</v>
      </c>
      <c r="E31" s="13" t="str">
        <f>HYPERLINK("https://youtu.be/vqMDsL7Hv_c","channel 1")</f>
        <v>channel 1</v>
      </c>
    </row>
    <row r="32">
      <c r="B32" s="72" t="s">
        <v>1352</v>
      </c>
      <c r="C32" s="73" t="s">
        <v>74</v>
      </c>
      <c r="D32" s="74" t="s">
        <v>1116</v>
      </c>
      <c r="E32" s="66" t="str">
        <f>HYPERLINK("https://youtu.be/lYd7a7yY2Pw","channel 2")</f>
        <v>channel 2</v>
      </c>
    </row>
    <row r="33">
      <c r="B33" s="72" t="s">
        <v>768</v>
      </c>
      <c r="C33" s="73" t="s">
        <v>124</v>
      </c>
      <c r="D33" s="74" t="s">
        <v>1312</v>
      </c>
      <c r="E33" s="13" t="str">
        <f>HYPERLINK("https://youtu.be/XjbdprGv-Xg","channel 1")</f>
        <v>channel 1</v>
      </c>
    </row>
    <row r="34">
      <c r="B34" s="72" t="s">
        <v>1352</v>
      </c>
      <c r="C34" s="73" t="s">
        <v>246</v>
      </c>
      <c r="D34" s="74" t="s">
        <v>1083</v>
      </c>
      <c r="E34" s="66" t="str">
        <f>HYPERLINK("https://youtu.be/94WRAHvzgDk","channel 2")</f>
        <v>channel 2</v>
      </c>
    </row>
    <row r="35">
      <c r="B35" s="72" t="s">
        <v>1083</v>
      </c>
      <c r="C35" s="73" t="s">
        <v>307</v>
      </c>
      <c r="D35" s="74" t="s">
        <v>1116</v>
      </c>
      <c r="E35" s="13" t="str">
        <f>HYPERLINK("https://youtu.be/kMpX9HGfljU","channel 1")</f>
        <v>channel 1</v>
      </c>
    </row>
    <row r="36">
      <c r="B36" s="72" t="s">
        <v>1352</v>
      </c>
      <c r="C36" s="73" t="s">
        <v>1391</v>
      </c>
      <c r="D36" s="74" t="s">
        <v>1312</v>
      </c>
      <c r="E36" s="66" t="str">
        <f>HYPERLINK("https://youtu.be/p8ZuKVIvn44","channel 2")</f>
        <v>channel 2</v>
      </c>
    </row>
    <row r="37">
      <c r="B37" s="72" t="s">
        <v>1116</v>
      </c>
      <c r="C37" s="73" t="s">
        <v>106</v>
      </c>
      <c r="D37" s="74" t="s">
        <v>768</v>
      </c>
      <c r="E37" s="13" t="str">
        <f>HYPERLINK("https://youtu.be/CJGkHAlltDM","channel 1")</f>
        <v>channel 1</v>
      </c>
    </row>
    <row r="38">
      <c r="B38" s="72" t="s">
        <v>1083</v>
      </c>
      <c r="C38" s="73" t="s">
        <v>146</v>
      </c>
      <c r="D38" s="74" t="s">
        <v>1312</v>
      </c>
      <c r="E38" s="66" t="str">
        <f>HYPERLINK("https://youtu.be/k76FOFJr1s0","channel 2")</f>
        <v>channel 2</v>
      </c>
    </row>
    <row r="39">
      <c r="B39" s="72" t="s">
        <v>1352</v>
      </c>
      <c r="C39" s="73" t="s">
        <v>142</v>
      </c>
      <c r="D39" s="74" t="s">
        <v>768</v>
      </c>
      <c r="E39" s="13" t="str">
        <f>HYPERLINK("https://youtu.be/DPfetflzuOU","channel 1")</f>
        <v>channel 1</v>
      </c>
    </row>
    <row r="40">
      <c r="B40" s="72" t="s">
        <v>1116</v>
      </c>
      <c r="C40" s="73" t="s">
        <v>1392</v>
      </c>
      <c r="D40" s="74" t="s">
        <v>1312</v>
      </c>
      <c r="E40" s="66" t="str">
        <f>HYPERLINK("https://youtu.be/9nqXGNULz58","channel 2")</f>
        <v>channel 2</v>
      </c>
    </row>
    <row r="41">
      <c r="B41" s="72" t="s">
        <v>1083</v>
      </c>
      <c r="C41" s="73" t="s">
        <v>32</v>
      </c>
      <c r="D41" s="74" t="s">
        <v>768</v>
      </c>
      <c r="E41" s="13" t="str">
        <f>HYPERLINK("https://youtu.be/bsn6VsPwT7c","channel 1")</f>
        <v>channel 1</v>
      </c>
    </row>
    <row r="42">
      <c r="B42" s="72" t="s">
        <v>1116</v>
      </c>
      <c r="C42" s="73" t="s">
        <v>1393</v>
      </c>
      <c r="D42" s="74" t="s">
        <v>1352</v>
      </c>
      <c r="E42" s="66" t="str">
        <f>HYPERLINK("https://youtu.be/b76xKz7P7iI","channel 2")</f>
        <v>channel 2</v>
      </c>
    </row>
    <row r="43">
      <c r="B43" s="72" t="s">
        <v>1312</v>
      </c>
      <c r="C43" s="73" t="s">
        <v>278</v>
      </c>
      <c r="D43" s="74" t="s">
        <v>768</v>
      </c>
      <c r="E43" s="13" t="str">
        <f>HYPERLINK("https://youtu.be/iRrw57x6E1Y","channel 1")</f>
        <v>channel 1</v>
      </c>
    </row>
    <row r="44">
      <c r="B44" s="72" t="s">
        <v>1083</v>
      </c>
      <c r="C44" s="73" t="s">
        <v>219</v>
      </c>
      <c r="D44" s="74" t="s">
        <v>1352</v>
      </c>
      <c r="E44" s="66" t="str">
        <f>HYPERLINK("https://youtu.be/wqpE3Q2YIRE","channel 2")</f>
        <v>channel 2</v>
      </c>
    </row>
    <row r="45">
      <c r="B45" s="57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4">
    <mergeCell ref="A1:A88"/>
    <mergeCell ref="B1:D1"/>
    <mergeCell ref="B23:D23"/>
    <mergeCell ref="B45:E9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60"/>
      <c r="E1" s="83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1395</v>
      </c>
      <c r="C3" s="73" t="s">
        <v>97</v>
      </c>
      <c r="D3" s="71" t="s">
        <v>697</v>
      </c>
      <c r="E3" s="66" t="str">
        <f>HYPERLINK("https://youtu.be/HuUxn85jdBI","channel 1")</f>
        <v>channel 1</v>
      </c>
    </row>
    <row r="4">
      <c r="B4" s="72" t="s">
        <v>1396</v>
      </c>
      <c r="C4" s="73" t="s">
        <v>74</v>
      </c>
      <c r="D4" s="74" t="s">
        <v>873</v>
      </c>
      <c r="E4" s="13" t="str">
        <f>HYPERLINK("https://youtu.be/r2W0tCLYKcc","channel 2")</f>
        <v>channel 2</v>
      </c>
    </row>
    <row r="5">
      <c r="B5" s="72" t="s">
        <v>53</v>
      </c>
      <c r="C5" s="73" t="s">
        <v>179</v>
      </c>
      <c r="D5" s="74" t="s">
        <v>1395</v>
      </c>
      <c r="E5" s="66" t="str">
        <f>HYPERLINK("https://youtu.be/BhDdRSHVW_M","channel 1")</f>
        <v>channel 1</v>
      </c>
    </row>
    <row r="6">
      <c r="B6" s="72" t="s">
        <v>1396</v>
      </c>
      <c r="C6" s="73" t="s">
        <v>213</v>
      </c>
      <c r="D6" s="74" t="s">
        <v>697</v>
      </c>
      <c r="E6" s="13" t="str">
        <f>HYPERLINK("https://youtu.be/u6kS9jfLD7Y","channel 2")</f>
        <v>channel 2</v>
      </c>
    </row>
    <row r="7">
      <c r="B7" s="72" t="s">
        <v>53</v>
      </c>
      <c r="C7" s="73" t="s">
        <v>216</v>
      </c>
      <c r="D7" s="74" t="s">
        <v>873</v>
      </c>
      <c r="E7" s="66" t="str">
        <f>HYPERLINK("https://youtu.be/UCnHLfj_1Go","channel 1")</f>
        <v>channel 1</v>
      </c>
    </row>
    <row r="8">
      <c r="B8" s="72" t="s">
        <v>1396</v>
      </c>
      <c r="C8" s="73" t="s">
        <v>109</v>
      </c>
      <c r="D8" s="74" t="s">
        <v>1395</v>
      </c>
      <c r="E8" s="13" t="str">
        <f>HYPERLINK("https://youtu.be/fMpezFb6ZH4","channel 2")</f>
        <v>channel 2</v>
      </c>
    </row>
    <row r="9">
      <c r="B9" s="72" t="s">
        <v>53</v>
      </c>
      <c r="C9" s="73" t="s">
        <v>46</v>
      </c>
      <c r="D9" s="74" t="s">
        <v>697</v>
      </c>
      <c r="E9" s="66" t="str">
        <f>HYPERLINK("https://youtu.be/GOEgouN_Jus","channel 1")</f>
        <v>channel 1</v>
      </c>
    </row>
    <row r="10">
      <c r="B10" s="72" t="s">
        <v>873</v>
      </c>
      <c r="C10" s="73" t="s">
        <v>40</v>
      </c>
      <c r="D10" s="74" t="s">
        <v>1395</v>
      </c>
      <c r="E10" s="13" t="str">
        <f>HYPERLINK("https://youtu.be/2tOKe87XXoE","channel 2")</f>
        <v>channel 2</v>
      </c>
    </row>
    <row r="11">
      <c r="B11" s="72" t="s">
        <v>53</v>
      </c>
      <c r="C11" s="73" t="s">
        <v>278</v>
      </c>
      <c r="D11" s="74" t="s">
        <v>1396</v>
      </c>
      <c r="E11" s="66" t="str">
        <f>HYPERLINK("https://youtu.be/0I8Li8ESyKs","channel 1")</f>
        <v>channel 1</v>
      </c>
    </row>
    <row r="12">
      <c r="B12" s="72" t="s">
        <v>873</v>
      </c>
      <c r="C12" s="73" t="s">
        <v>106</v>
      </c>
      <c r="D12" s="74" t="s">
        <v>697</v>
      </c>
      <c r="E12" s="13" t="str">
        <f>HYPERLINK("https://youtu.be/yQmnMIB9k5E","channel 2")</f>
        <v>channel 2</v>
      </c>
    </row>
    <row r="13">
      <c r="B13" s="72" t="s">
        <v>697</v>
      </c>
      <c r="C13" s="73" t="s">
        <v>35</v>
      </c>
      <c r="D13" s="74" t="s">
        <v>1395</v>
      </c>
      <c r="E13" s="66" t="str">
        <f>HYPERLINK("https://youtu.be/kpSGBANf-zs","channel 1")</f>
        <v>channel 1</v>
      </c>
    </row>
    <row r="14">
      <c r="B14" s="72" t="s">
        <v>873</v>
      </c>
      <c r="C14" s="73" t="s">
        <v>281</v>
      </c>
      <c r="D14" s="74" t="s">
        <v>1396</v>
      </c>
      <c r="E14" s="13" t="str">
        <f>HYPERLINK("https://youtu.be/Gutp5rsCFNk","channel 2")</f>
        <v>channel 2</v>
      </c>
    </row>
    <row r="15">
      <c r="B15" s="72" t="s">
        <v>1395</v>
      </c>
      <c r="C15" s="73" t="s">
        <v>133</v>
      </c>
      <c r="D15" s="74" t="s">
        <v>53</v>
      </c>
      <c r="E15" s="66" t="str">
        <f>HYPERLINK("https://youtu.be/jFArmXKCKpQ","channel 1")</f>
        <v>channel 1</v>
      </c>
    </row>
    <row r="16">
      <c r="B16" s="72" t="s">
        <v>697</v>
      </c>
      <c r="C16" s="73" t="s">
        <v>180</v>
      </c>
      <c r="D16" s="74" t="s">
        <v>1396</v>
      </c>
      <c r="E16" s="13" t="str">
        <f>HYPERLINK("https://youtu.be/ZOrgOBEt89E","channel 2")</f>
        <v>channel 2</v>
      </c>
    </row>
    <row r="17">
      <c r="B17" s="72" t="s">
        <v>873</v>
      </c>
      <c r="C17" s="73" t="s">
        <v>47</v>
      </c>
      <c r="D17" s="74" t="s">
        <v>53</v>
      </c>
      <c r="E17" s="66" t="str">
        <f>HYPERLINK("https://youtu.be/brKt-6V5KAY","channel 1")</f>
        <v>channel 1</v>
      </c>
    </row>
    <row r="18">
      <c r="B18" s="72" t="s">
        <v>1395</v>
      </c>
      <c r="C18" s="73" t="s">
        <v>570</v>
      </c>
      <c r="D18" s="74" t="s">
        <v>1396</v>
      </c>
      <c r="E18" s="13" t="str">
        <f>HYPERLINK("https://youtu.be/Di_ZEiKBEaU","channel 2")</f>
        <v>channel 2</v>
      </c>
    </row>
    <row r="19">
      <c r="B19" s="72" t="s">
        <v>697</v>
      </c>
      <c r="C19" s="73" t="s">
        <v>223</v>
      </c>
      <c r="D19" s="74" t="s">
        <v>53</v>
      </c>
      <c r="E19" s="66" t="str">
        <f>HYPERLINK("https://youtu.be/nUd-YJzubuk","channel 1")</f>
        <v>channel 1</v>
      </c>
    </row>
    <row r="20">
      <c r="B20" s="72" t="s">
        <v>1395</v>
      </c>
      <c r="C20" s="73" t="s">
        <v>232</v>
      </c>
      <c r="D20" s="74" t="s">
        <v>873</v>
      </c>
      <c r="E20" s="13" t="str">
        <f>HYPERLINK("https://youtu.be/vy-LnECRYA8","channel 2")</f>
        <v>channel 2</v>
      </c>
    </row>
    <row r="21">
      <c r="B21" s="72" t="s">
        <v>1396</v>
      </c>
      <c r="C21" s="73" t="s">
        <v>32</v>
      </c>
      <c r="D21" s="74" t="s">
        <v>53</v>
      </c>
      <c r="E21" s="66" t="str">
        <f>HYPERLINK("https://youtu.be/lnxeoXLEZyw","channel 1")</f>
        <v>channel 1</v>
      </c>
    </row>
    <row r="22">
      <c r="B22" s="72" t="s">
        <v>697</v>
      </c>
      <c r="C22" s="73" t="s">
        <v>47</v>
      </c>
      <c r="D22" s="74" t="s">
        <v>873</v>
      </c>
      <c r="E22" s="13" t="str">
        <f>HYPERLINK("https://youtu.be/OYSSpzze2dk","channel 2")</f>
        <v>channel 2</v>
      </c>
    </row>
    <row r="23">
      <c r="B23" s="58" t="s">
        <v>1397</v>
      </c>
      <c r="C23" s="59"/>
      <c r="D23" s="60"/>
      <c r="E23" s="83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1398</v>
      </c>
      <c r="C25" s="73" t="s">
        <v>572</v>
      </c>
      <c r="D25" s="74" t="s">
        <v>1399</v>
      </c>
      <c r="E25" s="66" t="str">
        <f>HYPERLINK("https://youtu.be/nDCGrRZWDAo","channel 1")</f>
        <v>channel 1</v>
      </c>
    </row>
    <row r="26">
      <c r="B26" s="72" t="s">
        <v>729</v>
      </c>
      <c r="C26" s="73" t="s">
        <v>218</v>
      </c>
      <c r="D26" s="74" t="s">
        <v>677</v>
      </c>
      <c r="E26" s="13" t="str">
        <f>HYPERLINK("https://youtu.be/XMDmtyl35dA","channel 2")</f>
        <v>channel 2</v>
      </c>
    </row>
    <row r="27">
      <c r="B27" s="72" t="s">
        <v>627</v>
      </c>
      <c r="C27" s="73" t="s">
        <v>104</v>
      </c>
      <c r="D27" s="74" t="s">
        <v>1398</v>
      </c>
      <c r="E27" s="66" t="str">
        <f>HYPERLINK("https://youtu.be/FqSqzlMo6qo","channel 1")</f>
        <v>channel 1</v>
      </c>
    </row>
    <row r="28">
      <c r="B28" s="72" t="s">
        <v>729</v>
      </c>
      <c r="C28" s="73" t="s">
        <v>55</v>
      </c>
      <c r="D28" s="74" t="s">
        <v>1399</v>
      </c>
      <c r="E28" s="13" t="str">
        <f>HYPERLINK("https://youtu.be/4pYKKy9uzn0","channel 2")</f>
        <v>channel 2</v>
      </c>
    </row>
    <row r="29">
      <c r="B29" s="72" t="s">
        <v>627</v>
      </c>
      <c r="C29" s="73" t="s">
        <v>160</v>
      </c>
      <c r="D29" s="74" t="s">
        <v>677</v>
      </c>
      <c r="E29" s="66" t="str">
        <f>HYPERLINK("https://youtu.be/dwLJ4X7tZ7w","channel 1")</f>
        <v>channel 1</v>
      </c>
    </row>
    <row r="30">
      <c r="B30" s="72" t="s">
        <v>729</v>
      </c>
      <c r="C30" s="73" t="s">
        <v>104</v>
      </c>
      <c r="D30" s="74" t="s">
        <v>1398</v>
      </c>
      <c r="E30" s="13" t="str">
        <f>HYPERLINK("https://youtu.be/KtmXdVFVDmw","channel 2")</f>
        <v>channel 2</v>
      </c>
    </row>
    <row r="31">
      <c r="B31" s="72" t="s">
        <v>627</v>
      </c>
      <c r="C31" s="73" t="s">
        <v>160</v>
      </c>
      <c r="D31" s="74" t="s">
        <v>1399</v>
      </c>
      <c r="E31" s="66" t="str">
        <f>HYPERLINK("https://youtu.be/cJC4g4sdOD4","channel 1")</f>
        <v>channel 1</v>
      </c>
    </row>
    <row r="32">
      <c r="B32" s="72" t="s">
        <v>677</v>
      </c>
      <c r="C32" s="73" t="s">
        <v>106</v>
      </c>
      <c r="D32" s="74" t="s">
        <v>1398</v>
      </c>
      <c r="E32" s="13" t="str">
        <f>HYPERLINK("https://youtu.be/W4MOfoUwsP4","channel 2")</f>
        <v>channel 2</v>
      </c>
    </row>
    <row r="33">
      <c r="B33" s="72" t="s">
        <v>627</v>
      </c>
      <c r="C33" s="73" t="s">
        <v>846</v>
      </c>
      <c r="D33" s="74" t="s">
        <v>729</v>
      </c>
      <c r="E33" s="66" t="str">
        <f>HYPERLINK("https://youtu.be/VqHRihVUXus","channel 1")</f>
        <v>channel 1</v>
      </c>
    </row>
    <row r="34">
      <c r="B34" s="72" t="s">
        <v>677</v>
      </c>
      <c r="C34" s="73" t="s">
        <v>1400</v>
      </c>
      <c r="D34" s="74" t="s">
        <v>1399</v>
      </c>
      <c r="E34" s="13" t="str">
        <f>HYPERLINK("https://youtu.be/SP2jKMTMMdI","channel 2")</f>
        <v>channel 2</v>
      </c>
    </row>
    <row r="35">
      <c r="B35" s="72" t="s">
        <v>1399</v>
      </c>
      <c r="C35" s="73" t="s">
        <v>10</v>
      </c>
      <c r="D35" s="74" t="s">
        <v>1398</v>
      </c>
      <c r="E35" s="66" t="str">
        <f>HYPERLINK("https://youtu.be/jlX6fZoemF4","channel 1")</f>
        <v>channel 1</v>
      </c>
    </row>
    <row r="36">
      <c r="B36" s="72" t="s">
        <v>677</v>
      </c>
      <c r="C36" s="73" t="s">
        <v>148</v>
      </c>
      <c r="D36" s="74" t="s">
        <v>729</v>
      </c>
      <c r="E36" s="13" t="str">
        <f>HYPERLINK("https://youtu.be/hxK_Gr7JgT0","channel 2")</f>
        <v>channel 2</v>
      </c>
    </row>
    <row r="37">
      <c r="B37" s="72" t="s">
        <v>1398</v>
      </c>
      <c r="C37" s="73" t="s">
        <v>633</v>
      </c>
      <c r="D37" s="74" t="s">
        <v>627</v>
      </c>
      <c r="E37" s="66" t="str">
        <f>HYPERLINK("https://youtu.be/WGCOhgfGiM4","channel 1")</f>
        <v>channel 1</v>
      </c>
    </row>
    <row r="38">
      <c r="B38" s="72" t="s">
        <v>1399</v>
      </c>
      <c r="C38" s="73" t="s">
        <v>485</v>
      </c>
      <c r="D38" s="74" t="s">
        <v>729</v>
      </c>
      <c r="E38" s="13" t="str">
        <f>HYPERLINK("https://youtu.be/DEj3Bwlu-y0","channel 2")</f>
        <v>channel 2</v>
      </c>
    </row>
    <row r="39">
      <c r="B39" s="72" t="s">
        <v>677</v>
      </c>
      <c r="C39" s="73" t="s">
        <v>223</v>
      </c>
      <c r="D39" s="74" t="s">
        <v>627</v>
      </c>
      <c r="E39" s="66" t="str">
        <f>HYPERLINK("https://youtu.be/1yPj2IMcE8c","channel 1")</f>
        <v>channel 1</v>
      </c>
    </row>
    <row r="40">
      <c r="B40" s="72" t="s">
        <v>1398</v>
      </c>
      <c r="C40" s="73" t="s">
        <v>230</v>
      </c>
      <c r="D40" s="74" t="s">
        <v>729</v>
      </c>
      <c r="E40" s="13" t="str">
        <f>HYPERLINK("https://youtu.be/UaMvLgQqOLY","channel 2")</f>
        <v>channel 2</v>
      </c>
    </row>
    <row r="41">
      <c r="B41" s="72" t="s">
        <v>1399</v>
      </c>
      <c r="C41" s="73" t="s">
        <v>383</v>
      </c>
      <c r="D41" s="74" t="s">
        <v>627</v>
      </c>
      <c r="E41" s="66" t="str">
        <f>HYPERLINK("https://youtu.be/Drmw5KkzGlA","channel 1")</f>
        <v>channel 1</v>
      </c>
    </row>
    <row r="42">
      <c r="B42" s="72" t="s">
        <v>1398</v>
      </c>
      <c r="C42" s="73" t="s">
        <v>82</v>
      </c>
      <c r="D42" s="74" t="s">
        <v>677</v>
      </c>
      <c r="E42" s="13" t="str">
        <f>HYPERLINK("https://youtu.be/Qblfmk7idmI","channel 2")</f>
        <v>channel 2</v>
      </c>
    </row>
    <row r="43">
      <c r="B43" s="72" t="s">
        <v>729</v>
      </c>
      <c r="C43" s="73" t="s">
        <v>304</v>
      </c>
      <c r="D43" s="74" t="s">
        <v>627</v>
      </c>
      <c r="E43" s="66" t="str">
        <f>HYPERLINK("https://youtu.be/sqcOIOkpio4","channel 1")</f>
        <v>channel 1</v>
      </c>
    </row>
    <row r="44">
      <c r="B44" s="72" t="s">
        <v>1399</v>
      </c>
      <c r="C44" s="73" t="s">
        <v>308</v>
      </c>
      <c r="D44" s="74" t="s">
        <v>677</v>
      </c>
      <c r="E44" s="13" t="str">
        <f>HYPERLINK("https://youtu.be/q6uhNgQw8mE","channel 2")</f>
        <v>channel 2</v>
      </c>
    </row>
    <row r="45">
      <c r="B45" s="2" t="s">
        <v>377</v>
      </c>
      <c r="C45" s="3"/>
      <c r="D45" s="4"/>
      <c r="E45" s="83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1401</v>
      </c>
      <c r="C47" s="73" t="s">
        <v>31</v>
      </c>
      <c r="D47" s="74" t="s">
        <v>1353</v>
      </c>
      <c r="E47" s="66" t="str">
        <f>HYPERLINK("https://youtu.be/z3TMrhR1ebA","channel 1")</f>
        <v>channel 1</v>
      </c>
    </row>
    <row r="48">
      <c r="B48" s="72" t="s">
        <v>162</v>
      </c>
      <c r="C48" s="73" t="s">
        <v>337</v>
      </c>
      <c r="D48" s="74" t="s">
        <v>808</v>
      </c>
      <c r="E48" s="13" t="str">
        <f>HYPERLINK("https://youtu.be/qFFrSWIztrE","channel 2")</f>
        <v>channel 2</v>
      </c>
    </row>
    <row r="49">
      <c r="B49" s="72" t="s">
        <v>1402</v>
      </c>
      <c r="C49" s="73" t="s">
        <v>93</v>
      </c>
      <c r="D49" s="74" t="s">
        <v>1401</v>
      </c>
      <c r="E49" s="66" t="str">
        <f>HYPERLINK("https://youtu.be/VHRCcqbWZwU","channel 1")</f>
        <v>channel 1</v>
      </c>
    </row>
    <row r="50">
      <c r="B50" s="72" t="s">
        <v>162</v>
      </c>
      <c r="C50" s="73" t="s">
        <v>105</v>
      </c>
      <c r="D50" s="74" t="s">
        <v>1353</v>
      </c>
      <c r="E50" s="13" t="str">
        <f>HYPERLINK("https://youtu.be/bMm7fMe3S9s","channel 2")</f>
        <v>channel 2</v>
      </c>
    </row>
    <row r="51">
      <c r="B51" s="72" t="s">
        <v>1402</v>
      </c>
      <c r="C51" s="73" t="s">
        <v>498</v>
      </c>
      <c r="D51" s="74" t="s">
        <v>808</v>
      </c>
      <c r="E51" s="66" t="str">
        <f>HYPERLINK("https://youtu.be/mkBwxx4KgIc","channel 1")</f>
        <v>channel 1</v>
      </c>
    </row>
    <row r="52">
      <c r="B52" s="72" t="s">
        <v>162</v>
      </c>
      <c r="C52" s="73" t="s">
        <v>104</v>
      </c>
      <c r="D52" s="74" t="s">
        <v>1401</v>
      </c>
      <c r="E52" s="13" t="str">
        <f>HYPERLINK("https://youtu.be/Q09Om26dtqk","channel 2")</f>
        <v>channel 2</v>
      </c>
    </row>
    <row r="53">
      <c r="B53" s="72" t="s">
        <v>1402</v>
      </c>
      <c r="C53" s="73" t="s">
        <v>1403</v>
      </c>
      <c r="D53" s="74" t="s">
        <v>1353</v>
      </c>
      <c r="E53" s="66" t="str">
        <f>HYPERLINK("https://youtu.be/wv6BDFIpEEQ","channel 1")</f>
        <v>channel 1</v>
      </c>
    </row>
    <row r="54">
      <c r="B54" s="72" t="s">
        <v>808</v>
      </c>
      <c r="C54" s="73" t="s">
        <v>145</v>
      </c>
      <c r="D54" s="74" t="s">
        <v>1401</v>
      </c>
      <c r="E54" s="13" t="str">
        <f>HYPERLINK("https://youtu.be/muaNJUJLe04","channel 2")</f>
        <v>channel 2</v>
      </c>
    </row>
    <row r="55">
      <c r="B55" s="72" t="s">
        <v>1402</v>
      </c>
      <c r="C55" s="73" t="s">
        <v>204</v>
      </c>
      <c r="D55" s="74" t="s">
        <v>162</v>
      </c>
      <c r="E55" s="66" t="str">
        <f>HYPERLINK("https://youtu.be/88RLl9bQUvg","channel 1")</f>
        <v>channel 1</v>
      </c>
    </row>
    <row r="56">
      <c r="B56" s="72" t="s">
        <v>808</v>
      </c>
      <c r="C56" s="73" t="s">
        <v>610</v>
      </c>
      <c r="D56" s="74" t="s">
        <v>1353</v>
      </c>
      <c r="E56" s="13" t="str">
        <f>HYPERLINK("https://youtu.be/Ii8dsSfjZak","channel 2")</f>
        <v>channel 2</v>
      </c>
    </row>
    <row r="57">
      <c r="B57" s="72" t="s">
        <v>1353</v>
      </c>
      <c r="C57" s="73" t="s">
        <v>32</v>
      </c>
      <c r="D57" s="74" t="s">
        <v>1401</v>
      </c>
      <c r="E57" s="66" t="str">
        <f>HYPERLINK("https://youtu.be/KZF4jGOsla0","channel 1")</f>
        <v>channel 1</v>
      </c>
    </row>
    <row r="58">
      <c r="B58" s="72" t="s">
        <v>808</v>
      </c>
      <c r="C58" s="73" t="s">
        <v>142</v>
      </c>
      <c r="D58" s="74" t="s">
        <v>162</v>
      </c>
      <c r="E58" s="13" t="str">
        <f>HYPERLINK("https://youtu.be/jS5MUC24pjc","channel 2")</f>
        <v>channel 2</v>
      </c>
    </row>
    <row r="59">
      <c r="B59" s="72" t="s">
        <v>1401</v>
      </c>
      <c r="C59" s="73" t="s">
        <v>56</v>
      </c>
      <c r="D59" s="74" t="s">
        <v>1402</v>
      </c>
      <c r="E59" s="66" t="str">
        <f>HYPERLINK("https://youtu.be/V0IZy--T3Dg","channel 1")</f>
        <v>channel 1</v>
      </c>
    </row>
    <row r="60">
      <c r="B60" s="72" t="s">
        <v>1353</v>
      </c>
      <c r="C60" s="73" t="s">
        <v>1404</v>
      </c>
      <c r="D60" s="74" t="s">
        <v>162</v>
      </c>
      <c r="E60" s="13" t="str">
        <f>HYPERLINK("https://youtu.be/26HTFFfGE40","channel 2")</f>
        <v>channel 2</v>
      </c>
    </row>
    <row r="61">
      <c r="B61" s="72" t="s">
        <v>808</v>
      </c>
      <c r="C61" s="73" t="s">
        <v>24</v>
      </c>
      <c r="D61" s="74" t="s">
        <v>1402</v>
      </c>
      <c r="E61" s="66" t="str">
        <f>HYPERLINK("https://youtu.be/3eHxb3up_Cw","channel 1")</f>
        <v>channel 1</v>
      </c>
    </row>
    <row r="62">
      <c r="B62" s="72" t="s">
        <v>1401</v>
      </c>
      <c r="C62" s="73" t="s">
        <v>38</v>
      </c>
      <c r="D62" s="74" t="s">
        <v>162</v>
      </c>
      <c r="E62" s="13" t="str">
        <f>HYPERLINK("https://youtu.be/TBw_0sGGtvA","channel 2")</f>
        <v>channel 2</v>
      </c>
    </row>
    <row r="63">
      <c r="B63" s="72" t="s">
        <v>1353</v>
      </c>
      <c r="C63" s="73" t="s">
        <v>124</v>
      </c>
      <c r="D63" s="74" t="s">
        <v>1402</v>
      </c>
      <c r="E63" s="66" t="str">
        <f>HYPERLINK("https://youtu.be/r9pBRGHgQr4","channel 1")</f>
        <v>channel 1</v>
      </c>
    </row>
    <row r="64">
      <c r="B64" s="72" t="s">
        <v>1401</v>
      </c>
      <c r="C64" s="73" t="s">
        <v>156</v>
      </c>
      <c r="D64" s="74" t="s">
        <v>808</v>
      </c>
      <c r="E64" s="13" t="str">
        <f>HYPERLINK("https://youtu.be/mqmEM1uHlBU","channel 2")</f>
        <v>channel 2</v>
      </c>
    </row>
    <row r="65">
      <c r="B65" s="72" t="s">
        <v>162</v>
      </c>
      <c r="C65" s="73" t="s">
        <v>212</v>
      </c>
      <c r="D65" s="74" t="s">
        <v>1402</v>
      </c>
      <c r="E65" s="66" t="str">
        <f>HYPERLINK("https://youtu.be/v6S2cr8vgB4","channel 1")</f>
        <v>channel 1</v>
      </c>
    </row>
    <row r="66">
      <c r="B66" s="72" t="s">
        <v>1353</v>
      </c>
      <c r="C66" s="73" t="s">
        <v>141</v>
      </c>
      <c r="D66" s="74" t="s">
        <v>808</v>
      </c>
      <c r="E66" s="13" t="str">
        <f>HYPERLINK("https://youtu.be/rskQat_MQoA","channel 2")</f>
        <v>channel 2</v>
      </c>
    </row>
    <row r="67">
      <c r="B67" s="2" t="s">
        <v>1405</v>
      </c>
      <c r="C67" s="3"/>
      <c r="D67" s="4"/>
      <c r="E67" s="83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1406</v>
      </c>
      <c r="C69" s="73" t="s">
        <v>74</v>
      </c>
      <c r="D69" s="74" t="s">
        <v>1407</v>
      </c>
      <c r="E69" s="66" t="str">
        <f>HYPERLINK("https://youtu.be/dle09GOZEtU","channel 1")</f>
        <v>channel 1</v>
      </c>
    </row>
    <row r="70">
      <c r="B70" s="72" t="s">
        <v>1359</v>
      </c>
      <c r="C70" s="73" t="s">
        <v>146</v>
      </c>
      <c r="D70" s="74" t="s">
        <v>1408</v>
      </c>
      <c r="E70" s="13" t="str">
        <f>HYPERLINK("https://youtu.be/D5pwOVRSmyk","channel 2")</f>
        <v>channel 2</v>
      </c>
    </row>
    <row r="71">
      <c r="B71" s="72" t="s">
        <v>1409</v>
      </c>
      <c r="C71" s="73" t="s">
        <v>46</v>
      </c>
      <c r="D71" s="74" t="s">
        <v>1406</v>
      </c>
      <c r="E71" s="66" t="str">
        <f>HYPERLINK("https://youtu.be/vXLEJ--Jr_Y","channel 1")</f>
        <v>channel 1</v>
      </c>
    </row>
    <row r="72">
      <c r="B72" s="72" t="s">
        <v>1359</v>
      </c>
      <c r="C72" s="73" t="s">
        <v>49</v>
      </c>
      <c r="D72" s="74" t="s">
        <v>1407</v>
      </c>
      <c r="E72" s="13" t="str">
        <f>HYPERLINK("https://youtu.be/oSqq6djDdlA","channel 2")</f>
        <v>channel 2</v>
      </c>
    </row>
    <row r="73">
      <c r="B73" s="72" t="s">
        <v>1409</v>
      </c>
      <c r="C73" s="73" t="s">
        <v>1366</v>
      </c>
      <c r="D73" s="74" t="s">
        <v>1408</v>
      </c>
      <c r="E73" s="66" t="str">
        <f>HYPERLINK("https://youtu.be/-eIx0MY9h58","channel 1")</f>
        <v>channel 1</v>
      </c>
    </row>
    <row r="74">
      <c r="B74" s="72" t="s">
        <v>1359</v>
      </c>
      <c r="C74" s="73" t="s">
        <v>90</v>
      </c>
      <c r="D74" s="74" t="s">
        <v>1406</v>
      </c>
      <c r="E74" s="13" t="str">
        <f>HYPERLINK("https://youtu.be/FYFKn8j35YU","channel 2")</f>
        <v>channel 2</v>
      </c>
    </row>
    <row r="75">
      <c r="B75" s="72" t="s">
        <v>1409</v>
      </c>
      <c r="C75" s="73" t="s">
        <v>32</v>
      </c>
      <c r="D75" s="74" t="s">
        <v>1407</v>
      </c>
      <c r="E75" s="66" t="str">
        <f>HYPERLINK("https://youtu.be/vUSZ2WkxB4I","channel 1")</f>
        <v>channel 1</v>
      </c>
    </row>
    <row r="76">
      <c r="B76" s="72" t="s">
        <v>1408</v>
      </c>
      <c r="C76" s="73" t="s">
        <v>458</v>
      </c>
      <c r="D76" s="74" t="s">
        <v>1406</v>
      </c>
      <c r="E76" s="13" t="str">
        <f>HYPERLINK("https://youtu.be/yRMF7qU_f5c","channel 2")</f>
        <v>channel 2</v>
      </c>
    </row>
    <row r="77">
      <c r="B77" s="72" t="s">
        <v>1409</v>
      </c>
      <c r="C77" s="73" t="s">
        <v>148</v>
      </c>
      <c r="D77" s="74" t="s">
        <v>1359</v>
      </c>
      <c r="E77" s="66" t="str">
        <f>HYPERLINK("https://youtu.be/PevvwXlHJa4","channel 1")</f>
        <v>channel 1</v>
      </c>
    </row>
    <row r="78">
      <c r="B78" s="72" t="s">
        <v>1408</v>
      </c>
      <c r="C78" s="73" t="s">
        <v>145</v>
      </c>
      <c r="D78" s="74" t="s">
        <v>1407</v>
      </c>
      <c r="E78" s="13" t="str">
        <f>HYPERLINK("https://youtu.be/vgjbiUz8ibg","channel 2")</f>
        <v>channel 2</v>
      </c>
    </row>
    <row r="79">
      <c r="B79" s="72" t="s">
        <v>1407</v>
      </c>
      <c r="C79" s="73" t="s">
        <v>97</v>
      </c>
      <c r="D79" s="74" t="s">
        <v>1406</v>
      </c>
      <c r="E79" s="66" t="str">
        <f>HYPERLINK("https://youtu.be/vETSXGpiTgw","channel 1")</f>
        <v>channel 1</v>
      </c>
    </row>
    <row r="80">
      <c r="B80" s="72" t="s">
        <v>1408</v>
      </c>
      <c r="C80" s="73" t="s">
        <v>742</v>
      </c>
      <c r="D80" s="74" t="s">
        <v>1359</v>
      </c>
      <c r="E80" s="13" t="str">
        <f>HYPERLINK("https://youtu.be/D8rHbV7rPGY","channel 2")</f>
        <v>channel 2</v>
      </c>
    </row>
    <row r="81">
      <c r="B81" s="72" t="s">
        <v>1406</v>
      </c>
      <c r="C81" s="73" t="s">
        <v>575</v>
      </c>
      <c r="D81" s="74" t="s">
        <v>1409</v>
      </c>
      <c r="E81" s="66" t="str">
        <f>HYPERLINK("https://youtu.be/BQEV6wo4zy8","channel 1")</f>
        <v>channel 1</v>
      </c>
    </row>
    <row r="82">
      <c r="B82" s="72" t="s">
        <v>1407</v>
      </c>
      <c r="C82" s="73" t="s">
        <v>10</v>
      </c>
      <c r="D82" s="74" t="s">
        <v>1359</v>
      </c>
      <c r="E82" s="13" t="str">
        <f>HYPERLINK("https://youtu.be/NfSGUiydwR0","channel 2")</f>
        <v>channel 2</v>
      </c>
    </row>
    <row r="83">
      <c r="B83" s="72" t="s">
        <v>1408</v>
      </c>
      <c r="C83" s="73" t="s">
        <v>340</v>
      </c>
      <c r="D83" s="74" t="s">
        <v>1409</v>
      </c>
      <c r="E83" s="66" t="str">
        <f>HYPERLINK("https://youtu.be/ITWeOTUB5v0","channel 1")</f>
        <v>channel 1</v>
      </c>
    </row>
    <row r="84">
      <c r="B84" s="72" t="s">
        <v>1406</v>
      </c>
      <c r="C84" s="73" t="s">
        <v>671</v>
      </c>
      <c r="D84" s="74" t="s">
        <v>1359</v>
      </c>
      <c r="E84" s="13" t="str">
        <f>HYPERLINK("https://youtu.be/vmZjk-QHswY","channel 2")</f>
        <v>channel 2</v>
      </c>
    </row>
    <row r="85">
      <c r="B85" s="72" t="s">
        <v>1407</v>
      </c>
      <c r="C85" s="73" t="s">
        <v>124</v>
      </c>
      <c r="D85" s="74" t="s">
        <v>1409</v>
      </c>
      <c r="E85" s="66" t="str">
        <f>HYPERLINK("https://youtu.be/dki3H2ciBm4","channel 1")</f>
        <v>channel 1</v>
      </c>
    </row>
    <row r="86">
      <c r="B86" s="72" t="s">
        <v>1406</v>
      </c>
      <c r="C86" s="73" t="s">
        <v>104</v>
      </c>
      <c r="D86" s="74" t="s">
        <v>1408</v>
      </c>
      <c r="E86" s="13" t="str">
        <f>HYPERLINK("https://youtu.be/zeMJ4Tj0W0I","channel 2")</f>
        <v>channel 2</v>
      </c>
    </row>
    <row r="87">
      <c r="B87" s="72" t="s">
        <v>1359</v>
      </c>
      <c r="C87" s="73" t="s">
        <v>237</v>
      </c>
      <c r="D87" s="74" t="s">
        <v>1409</v>
      </c>
      <c r="E87" s="66" t="str">
        <f>HYPERLINK("https://youtu.be/glpi4wuQOFE","channel 1")</f>
        <v>channel 1</v>
      </c>
    </row>
    <row r="88">
      <c r="B88" s="72" t="s">
        <v>1407</v>
      </c>
      <c r="C88" s="73" t="s">
        <v>110</v>
      </c>
      <c r="D88" s="74" t="s">
        <v>1408</v>
      </c>
      <c r="E88" s="13" t="str">
        <f>HYPERLINK("https://youtu.be/DIAf06p9Nug","channel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2</v>
      </c>
      <c r="C1" s="59"/>
      <c r="D1" s="60"/>
      <c r="E1" s="83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1410</v>
      </c>
      <c r="C3" s="73" t="s">
        <v>32</v>
      </c>
      <c r="D3" s="74" t="s">
        <v>1411</v>
      </c>
      <c r="E3" s="66" t="str">
        <f>HYPERLINK("https://youtu.be/GhUX4v50fvk","channel 1")</f>
        <v>channel 1</v>
      </c>
    </row>
    <row r="4">
      <c r="B4" s="72" t="s">
        <v>560</v>
      </c>
      <c r="C4" s="73" t="s">
        <v>596</v>
      </c>
      <c r="D4" s="74" t="s">
        <v>1412</v>
      </c>
      <c r="E4" s="13" t="str">
        <f>HYPERLINK("https://youtu.be/F7cO6f_M96Q","channel 2")</f>
        <v>channel 2</v>
      </c>
    </row>
    <row r="5">
      <c r="B5" s="72" t="s">
        <v>1413</v>
      </c>
      <c r="C5" s="73" t="s">
        <v>103</v>
      </c>
      <c r="D5" s="74" t="s">
        <v>1410</v>
      </c>
      <c r="E5" s="66" t="str">
        <f>HYPERLINK("https://youtu.be/iK0ONdptvmc","channel 1")</f>
        <v>channel 1</v>
      </c>
    </row>
    <row r="6">
      <c r="B6" s="72" t="s">
        <v>560</v>
      </c>
      <c r="C6" s="73" t="s">
        <v>109</v>
      </c>
      <c r="D6" s="74" t="s">
        <v>1411</v>
      </c>
      <c r="E6" s="13" t="str">
        <f>HYPERLINK("https://youtu.be/qRlccWYc_Pg","channel 2")</f>
        <v>channel 2</v>
      </c>
    </row>
    <row r="7">
      <c r="B7" s="72" t="s">
        <v>1413</v>
      </c>
      <c r="C7" s="73" t="s">
        <v>219</v>
      </c>
      <c r="D7" s="74" t="s">
        <v>1412</v>
      </c>
      <c r="E7" s="66" t="str">
        <f>HYPERLINK("https://youtu.be/2FYgkr4qg14","channel 1")</f>
        <v>channel 1</v>
      </c>
    </row>
    <row r="8">
      <c r="B8" s="72" t="s">
        <v>560</v>
      </c>
      <c r="C8" s="73" t="s">
        <v>37</v>
      </c>
      <c r="D8" s="74" t="s">
        <v>1410</v>
      </c>
      <c r="E8" s="13" t="str">
        <f>HYPERLINK("https://youtu.be/2FYgkr4qg14","channel 2")</f>
        <v>channel 2</v>
      </c>
    </row>
    <row r="9">
      <c r="B9" s="72" t="s">
        <v>1413</v>
      </c>
      <c r="C9" s="73" t="s">
        <v>145</v>
      </c>
      <c r="D9" s="74" t="s">
        <v>1411</v>
      </c>
      <c r="E9" s="66" t="str">
        <f>HYPERLINK("https://youtu.be/11V3PRzFLA4","channel 1")</f>
        <v>channel 1</v>
      </c>
    </row>
    <row r="10">
      <c r="B10" s="72" t="s">
        <v>1412</v>
      </c>
      <c r="C10" s="73" t="s">
        <v>157</v>
      </c>
      <c r="D10" s="74" t="s">
        <v>1410</v>
      </c>
      <c r="E10" s="66" t="str">
        <f>HYPERLINK("https://youtu.be/6VSJwS-lRw8","channel 2")</f>
        <v>channel 2</v>
      </c>
    </row>
    <row r="11">
      <c r="B11" s="72" t="s">
        <v>1413</v>
      </c>
      <c r="C11" s="73" t="s">
        <v>508</v>
      </c>
      <c r="D11" s="74" t="s">
        <v>560</v>
      </c>
      <c r="E11" s="13" t="str">
        <f>HYPERLINK("https://youtu.be/1JjHGswnKQI","channel 1")</f>
        <v>channel 1</v>
      </c>
    </row>
    <row r="12">
      <c r="B12" s="72" t="s">
        <v>1412</v>
      </c>
      <c r="C12" s="73" t="s">
        <v>141</v>
      </c>
      <c r="D12" s="74" t="s">
        <v>1411</v>
      </c>
      <c r="E12" s="66" t="str">
        <f>HYPERLINK("https://youtu.be/Byt0UHC8kHE","channel 2")</f>
        <v>channel 2</v>
      </c>
    </row>
    <row r="13">
      <c r="B13" s="72" t="s">
        <v>1411</v>
      </c>
      <c r="C13" s="73" t="s">
        <v>30</v>
      </c>
      <c r="D13" s="74" t="s">
        <v>1410</v>
      </c>
      <c r="E13" s="13" t="str">
        <f>HYPERLINK("https://youtu.be/CCFXQTZemt8","channel 1")</f>
        <v>channel 1</v>
      </c>
    </row>
    <row r="14">
      <c r="B14" s="72" t="s">
        <v>1412</v>
      </c>
      <c r="C14" s="73" t="s">
        <v>59</v>
      </c>
      <c r="D14" s="74" t="s">
        <v>560</v>
      </c>
      <c r="E14" s="66" t="str">
        <f>HYPERLINK("https://youtu.be/GeYuKZ-Z-N0","channel 2")</f>
        <v>channel 2</v>
      </c>
    </row>
    <row r="15">
      <c r="B15" s="72" t="s">
        <v>1410</v>
      </c>
      <c r="C15" s="73" t="s">
        <v>1414</v>
      </c>
      <c r="D15" s="74" t="s">
        <v>1413</v>
      </c>
      <c r="E15" s="13" t="str">
        <f>HYPERLINK("https://youtu.be/F5Xso3cfpTI","channel 1")</f>
        <v>channel 1</v>
      </c>
    </row>
    <row r="16">
      <c r="B16" s="72" t="s">
        <v>1411</v>
      </c>
      <c r="C16" s="73" t="s">
        <v>180</v>
      </c>
      <c r="D16" s="74" t="s">
        <v>560</v>
      </c>
      <c r="E16" s="66" t="str">
        <f>HYPERLINK("https://youtu.be/zXgOlCNdKBM","channel 2")</f>
        <v>channel 2</v>
      </c>
    </row>
    <row r="17">
      <c r="B17" s="72" t="s">
        <v>1412</v>
      </c>
      <c r="C17" s="73" t="s">
        <v>89</v>
      </c>
      <c r="D17" s="74" t="s">
        <v>1413</v>
      </c>
      <c r="E17" s="13" t="str">
        <f>HYPERLINK("https://youtu.be/yCeiy_27cDw","channel 1")</f>
        <v>channel 1</v>
      </c>
    </row>
    <row r="18">
      <c r="B18" s="72" t="s">
        <v>1410</v>
      </c>
      <c r="C18" s="73" t="s">
        <v>212</v>
      </c>
      <c r="D18" s="74" t="s">
        <v>560</v>
      </c>
      <c r="E18" s="66" t="str">
        <f>HYPERLINK("https://www.youtube.com/watch?v=eh9VH9c4mrA","channel 2")</f>
        <v>channel 2</v>
      </c>
    </row>
    <row r="19">
      <c r="B19" s="72" t="s">
        <v>1411</v>
      </c>
      <c r="C19" s="73" t="s">
        <v>337</v>
      </c>
      <c r="D19" s="74" t="s">
        <v>1413</v>
      </c>
      <c r="E19" s="13" t="str">
        <f>HYPERLINK("https://youtu.be/WpUHSpVyRg8","channel 1")</f>
        <v>channel 1</v>
      </c>
    </row>
    <row r="20">
      <c r="B20" s="72" t="s">
        <v>1410</v>
      </c>
      <c r="C20" s="73" t="s">
        <v>216</v>
      </c>
      <c r="D20" s="74" t="s">
        <v>1412</v>
      </c>
      <c r="E20" s="66" t="str">
        <f>HYPERLINK("https://youtu.be/nmU1U0KkY5E","channel 2")</f>
        <v>channel 2</v>
      </c>
    </row>
    <row r="21">
      <c r="B21" s="72" t="s">
        <v>560</v>
      </c>
      <c r="C21" s="73" t="s">
        <v>10</v>
      </c>
      <c r="D21" s="74" t="s">
        <v>1413</v>
      </c>
      <c r="E21" s="66" t="str">
        <f>HYPERLINK("https://youtu.be/M0S4v-xsozg","channel 1")</f>
        <v>channel 1</v>
      </c>
    </row>
    <row r="22">
      <c r="B22" s="72" t="s">
        <v>1411</v>
      </c>
      <c r="C22" s="73" t="s">
        <v>225</v>
      </c>
      <c r="D22" s="74" t="s">
        <v>1412</v>
      </c>
      <c r="E22" s="13" t="str">
        <f>HYPERLINK("https://youtu.be/oS21C3BpPzI","channel 2")</f>
        <v>channel 2</v>
      </c>
    </row>
    <row r="23">
      <c r="B23" s="88" t="s">
        <v>64</v>
      </c>
      <c r="C23" s="59"/>
      <c r="D23" s="60"/>
      <c r="E23" s="83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1415</v>
      </c>
      <c r="C25" s="73" t="s">
        <v>145</v>
      </c>
      <c r="D25" s="74" t="s">
        <v>861</v>
      </c>
      <c r="E25" s="66" t="str">
        <f>HYPERLINK("https://youtu.be/-V7nyRRKt9s","channel 1")</f>
        <v>channel 1</v>
      </c>
    </row>
    <row r="26">
      <c r="B26" s="72" t="s">
        <v>1416</v>
      </c>
      <c r="C26" s="73" t="s">
        <v>204</v>
      </c>
      <c r="D26" s="74" t="s">
        <v>1417</v>
      </c>
      <c r="E26" s="13" t="str">
        <f>HYPERLINK("https://youtu.be/AJT3IQdJKKQ","channel 2")</f>
        <v>channel 2</v>
      </c>
    </row>
    <row r="27">
      <c r="B27" s="72" t="s">
        <v>963</v>
      </c>
      <c r="C27" s="73" t="s">
        <v>46</v>
      </c>
      <c r="D27" s="74" t="s">
        <v>1415</v>
      </c>
      <c r="E27" s="66" t="str">
        <f>HYPERLINK("https://youtu.be/QCPC66jlr9k","channel 1")</f>
        <v>channel 1</v>
      </c>
    </row>
    <row r="28">
      <c r="B28" s="72" t="s">
        <v>1416</v>
      </c>
      <c r="C28" s="73" t="s">
        <v>216</v>
      </c>
      <c r="D28" s="74" t="s">
        <v>861</v>
      </c>
      <c r="E28" s="13" t="str">
        <f>HYPERLINK("https://youtu.be/4QKBuoUSu4c","channel 2")</f>
        <v>channel 2</v>
      </c>
    </row>
    <row r="29">
      <c r="B29" s="72" t="s">
        <v>963</v>
      </c>
      <c r="C29" s="73" t="s">
        <v>93</v>
      </c>
      <c r="D29" s="74" t="s">
        <v>1417</v>
      </c>
      <c r="E29" s="66" t="str">
        <f>HYPERLINK("https://youtu.be/gdfxwlJKEqI","channel 1")</f>
        <v>channel 1</v>
      </c>
    </row>
    <row r="30">
      <c r="B30" s="72" t="s">
        <v>1416</v>
      </c>
      <c r="C30" s="73" t="s">
        <v>102</v>
      </c>
      <c r="D30" s="74" t="s">
        <v>1415</v>
      </c>
      <c r="E30" s="13" t="str">
        <f>HYPERLINK("https://youtu.be/LD15qB04mgE","channel 2")</f>
        <v>channel 2</v>
      </c>
    </row>
    <row r="31">
      <c r="B31" s="72" t="s">
        <v>963</v>
      </c>
      <c r="C31" s="73" t="s">
        <v>310</v>
      </c>
      <c r="D31" s="74" t="s">
        <v>861</v>
      </c>
      <c r="E31" s="66" t="str">
        <f>HYPERLINK("https://youtu.be/A8wjt79B_aU","channel 1")</f>
        <v>channel 1</v>
      </c>
    </row>
    <row r="32">
      <c r="B32" s="72" t="s">
        <v>1417</v>
      </c>
      <c r="C32" s="73" t="s">
        <v>759</v>
      </c>
      <c r="D32" s="74" t="s">
        <v>1415</v>
      </c>
      <c r="E32" s="66" t="str">
        <f>HYPERLINK("https://youtu.be/lj_oD_VXtaQ","channel 2")</f>
        <v>channel 2</v>
      </c>
    </row>
    <row r="33">
      <c r="B33" s="72" t="s">
        <v>963</v>
      </c>
      <c r="C33" s="73" t="s">
        <v>277</v>
      </c>
      <c r="D33" s="74" t="s">
        <v>1416</v>
      </c>
      <c r="E33" s="13" t="str">
        <f>HYPERLINK("https://youtu.be/pSi8nNjYlTw","channel 1")</f>
        <v>channel 1</v>
      </c>
    </row>
    <row r="34">
      <c r="B34" s="72" t="s">
        <v>1417</v>
      </c>
      <c r="C34" s="73" t="s">
        <v>24</v>
      </c>
      <c r="D34" s="74" t="s">
        <v>861</v>
      </c>
      <c r="E34" s="66" t="str">
        <f>HYPERLINK("https://youtu.be/lC8kqHhinxU","channel 2")</f>
        <v>channel 2</v>
      </c>
    </row>
    <row r="35">
      <c r="B35" s="72" t="s">
        <v>861</v>
      </c>
      <c r="C35" s="73" t="s">
        <v>59</v>
      </c>
      <c r="D35" s="74" t="s">
        <v>1415</v>
      </c>
      <c r="E35" s="13" t="str">
        <f>HYPERLINK("https://youtu.be/IeU-_qZKFTo","channel 1")</f>
        <v>channel 1</v>
      </c>
    </row>
    <row r="36">
      <c r="B36" s="72" t="s">
        <v>1417</v>
      </c>
      <c r="C36" s="73" t="s">
        <v>47</v>
      </c>
      <c r="D36" s="74" t="s">
        <v>1416</v>
      </c>
      <c r="E36" s="66" t="str">
        <f>HYPERLINK("https://youtu.be/PEmKMsqkHLs","channel 2")</f>
        <v>channel 2</v>
      </c>
    </row>
    <row r="37">
      <c r="B37" s="72" t="s">
        <v>1415</v>
      </c>
      <c r="C37" s="73" t="s">
        <v>47</v>
      </c>
      <c r="D37" s="74" t="s">
        <v>963</v>
      </c>
      <c r="E37" s="13" t="str">
        <f>HYPERLINK("https://youtu.be/AsZdVO-lVZM","channel 1")</f>
        <v>channel 1</v>
      </c>
    </row>
    <row r="38">
      <c r="B38" s="72" t="s">
        <v>861</v>
      </c>
      <c r="C38" s="73" t="s">
        <v>46</v>
      </c>
      <c r="D38" s="74" t="s">
        <v>1416</v>
      </c>
      <c r="E38" s="66" t="str">
        <f>HYPERLINK("https://youtu.be/lRup5fhaqjM","channel 2")</f>
        <v>channel 2</v>
      </c>
    </row>
    <row r="39">
      <c r="B39" s="72" t="s">
        <v>1417</v>
      </c>
      <c r="C39" s="73" t="s">
        <v>241</v>
      </c>
      <c r="D39" s="74" t="s">
        <v>963</v>
      </c>
      <c r="E39" s="13" t="str">
        <f>HYPERLINK("https://youtu.be/zvAjRe45m2g","channel 1")</f>
        <v>channel 1</v>
      </c>
    </row>
    <row r="40">
      <c r="B40" s="72" t="s">
        <v>1415</v>
      </c>
      <c r="C40" s="73" t="s">
        <v>180</v>
      </c>
      <c r="D40" s="74" t="s">
        <v>1416</v>
      </c>
      <c r="E40" s="66" t="str">
        <f>HYPERLINK("https://youtu.be/SZAOqwxeMRw","channel 2")</f>
        <v>channel 2</v>
      </c>
    </row>
    <row r="41">
      <c r="B41" s="72" t="s">
        <v>861</v>
      </c>
      <c r="C41" s="73" t="s">
        <v>750</v>
      </c>
      <c r="D41" s="74" t="s">
        <v>963</v>
      </c>
      <c r="E41" s="13" t="str">
        <f>HYPERLINK("https://youtu.be/xGbuHAGplfQ","channel 1")</f>
        <v>channel 1</v>
      </c>
    </row>
    <row r="42">
      <c r="B42" s="72" t="s">
        <v>1415</v>
      </c>
      <c r="C42" s="73" t="s">
        <v>1373</v>
      </c>
      <c r="D42" s="74" t="s">
        <v>1417</v>
      </c>
      <c r="E42" s="66" t="str">
        <f>HYPERLINK("https://youtu.be/Pme3Or8lBJ4","channel 2")</f>
        <v>channel 2</v>
      </c>
    </row>
    <row r="43">
      <c r="B43" s="72" t="s">
        <v>1416</v>
      </c>
      <c r="C43" s="73" t="s">
        <v>59</v>
      </c>
      <c r="D43" s="74" t="s">
        <v>963</v>
      </c>
      <c r="E43" s="66" t="str">
        <f>HYPERLINK("https://youtu.be/wmpwgw03r60","channel 1")</f>
        <v>channel 1</v>
      </c>
    </row>
    <row r="44">
      <c r="B44" s="72" t="s">
        <v>861</v>
      </c>
      <c r="C44" s="73" t="s">
        <v>212</v>
      </c>
      <c r="D44" s="74" t="s">
        <v>1417</v>
      </c>
      <c r="E44" s="13" t="str">
        <f>HYPERLINK("https://youtu.be/vNtSyUZo36c","channel 2")</f>
        <v>channel 2</v>
      </c>
    </row>
    <row r="45">
      <c r="B45" s="90" t="s">
        <v>597</v>
      </c>
      <c r="C45" s="59"/>
      <c r="D45" s="60"/>
      <c r="E45" s="83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1418</v>
      </c>
      <c r="C47" s="73" t="s">
        <v>103</v>
      </c>
      <c r="D47" s="74" t="s">
        <v>96</v>
      </c>
      <c r="E47" s="66" t="str">
        <f>HYPERLINK("https://youtu.be/zPvtHsnWwyY","channel 1")</f>
        <v>channel 1</v>
      </c>
    </row>
    <row r="48">
      <c r="B48" s="72" t="s">
        <v>896</v>
      </c>
      <c r="C48" s="73" t="s">
        <v>163</v>
      </c>
      <c r="D48" s="74" t="s">
        <v>1419</v>
      </c>
      <c r="E48" s="13" t="str">
        <f>HYPERLINK("https://youtu.be/yLtN09i_5cw","channel 2")</f>
        <v>channel 2</v>
      </c>
    </row>
    <row r="49">
      <c r="B49" s="72" t="s">
        <v>1420</v>
      </c>
      <c r="C49" s="73" t="s">
        <v>1217</v>
      </c>
      <c r="D49" s="74" t="s">
        <v>1418</v>
      </c>
      <c r="E49" s="66" t="str">
        <f>HYPERLINK("https://youtu.be/Ux7BYpYlZLw","channel 1")</f>
        <v>channel 1</v>
      </c>
    </row>
    <row r="50">
      <c r="B50" s="72" t="s">
        <v>896</v>
      </c>
      <c r="C50" s="73" t="s">
        <v>99</v>
      </c>
      <c r="D50" s="74" t="s">
        <v>96</v>
      </c>
      <c r="E50" s="13" t="str">
        <f>HYPERLINK("https://youtu.be/kUl-pNM2Vfs","channel 2")</f>
        <v>channel 2</v>
      </c>
    </row>
    <row r="51">
      <c r="B51" s="72" t="s">
        <v>1420</v>
      </c>
      <c r="C51" s="73" t="s">
        <v>148</v>
      </c>
      <c r="D51" s="74" t="s">
        <v>1419</v>
      </c>
      <c r="E51" s="66" t="str">
        <f>HYPERLINK("https://youtu.be/pR540SOaSFE","channel 1")</f>
        <v>channel 1</v>
      </c>
    </row>
    <row r="52">
      <c r="B52" s="72" t="s">
        <v>896</v>
      </c>
      <c r="C52" s="73" t="s">
        <v>278</v>
      </c>
      <c r="D52" s="74" t="s">
        <v>1418</v>
      </c>
      <c r="E52" s="13" t="str">
        <f>HYPERLINK("https://youtu.be/T-G7AFegvTo","channel 2")</f>
        <v>channel 2</v>
      </c>
    </row>
    <row r="53">
      <c r="B53" s="72" t="s">
        <v>1420</v>
      </c>
      <c r="C53" s="73" t="s">
        <v>74</v>
      </c>
      <c r="D53" s="74" t="s">
        <v>96</v>
      </c>
      <c r="E53" s="66" t="str">
        <f>HYPERLINK("https://youtu.be/eBWjl4v06wg","channel 1")</f>
        <v>channel 1</v>
      </c>
    </row>
    <row r="54">
      <c r="B54" s="72" t="s">
        <v>1419</v>
      </c>
      <c r="C54" s="73" t="s">
        <v>156</v>
      </c>
      <c r="D54" s="74" t="s">
        <v>1418</v>
      </c>
      <c r="E54" s="66" t="str">
        <f>HYPERLINK("https://youtu.be/gxm0qWXKIuc","channel 2")</f>
        <v>channel 2</v>
      </c>
    </row>
    <row r="55">
      <c r="B55" s="72" t="s">
        <v>1420</v>
      </c>
      <c r="C55" s="73" t="s">
        <v>101</v>
      </c>
      <c r="D55" s="74" t="s">
        <v>896</v>
      </c>
      <c r="E55" s="13" t="str">
        <f>HYPERLINK("https://youtu.be/e3Oh4cdqEe8","channel 1")</f>
        <v>channel 1</v>
      </c>
    </row>
    <row r="56">
      <c r="B56" s="72" t="s">
        <v>1419</v>
      </c>
      <c r="C56" s="73" t="s">
        <v>35</v>
      </c>
      <c r="D56" s="74" t="s">
        <v>96</v>
      </c>
      <c r="E56" s="66" t="str">
        <f>HYPERLINK("https://youtu.be/ZIdzBsIv23o","channel 2")</f>
        <v>channel 2</v>
      </c>
    </row>
    <row r="57">
      <c r="B57" s="72" t="s">
        <v>96</v>
      </c>
      <c r="C57" s="73" t="s">
        <v>384</v>
      </c>
      <c r="D57" s="74" t="s">
        <v>1418</v>
      </c>
      <c r="E57" s="13" t="str">
        <f>HYPERLINK("https://youtu.be/w88bAAaJ07A","channel 1")</f>
        <v>channel 1</v>
      </c>
    </row>
    <row r="58">
      <c r="B58" s="72" t="s">
        <v>1419</v>
      </c>
      <c r="C58" s="73" t="s">
        <v>143</v>
      </c>
      <c r="D58" s="74" t="s">
        <v>896</v>
      </c>
      <c r="E58" s="66" t="str">
        <f>HYPERLINK("https://youtu.be/EosR5V8Tfe4","channel 2")</f>
        <v>channel 2</v>
      </c>
    </row>
    <row r="59">
      <c r="B59" s="72" t="s">
        <v>1418</v>
      </c>
      <c r="C59" s="73" t="s">
        <v>87</v>
      </c>
      <c r="D59" s="74" t="s">
        <v>1420</v>
      </c>
      <c r="E59" s="13" t="str">
        <f>HYPERLINK("https://youtu.be/mZ5-RClycgU","channel 1")</f>
        <v>channel 1</v>
      </c>
    </row>
    <row r="60">
      <c r="B60" s="72" t="s">
        <v>96</v>
      </c>
      <c r="C60" s="73" t="s">
        <v>59</v>
      </c>
      <c r="D60" s="74" t="s">
        <v>896</v>
      </c>
      <c r="E60" s="66" t="str">
        <f>HYPERLINK("https://youtu.be/ztzA0djtoeU","channel 2")</f>
        <v>channel 2</v>
      </c>
    </row>
    <row r="61">
      <c r="B61" s="72" t="s">
        <v>1419</v>
      </c>
      <c r="C61" s="73" t="s">
        <v>32</v>
      </c>
      <c r="D61" s="74" t="s">
        <v>1420</v>
      </c>
      <c r="E61" s="13" t="str">
        <f>HYPERLINK("https://youtu.be/FVrWZAI53XM","channel 1")</f>
        <v>channel 1</v>
      </c>
    </row>
    <row r="62">
      <c r="B62" s="72" t="s">
        <v>1418</v>
      </c>
      <c r="C62" s="73" t="s">
        <v>77</v>
      </c>
      <c r="D62" s="74" t="s">
        <v>896</v>
      </c>
      <c r="E62" s="66" t="str">
        <f>HYPERLINK("https://youtu.be/TTxuK67uNdA","channel 2")</f>
        <v>channel 2</v>
      </c>
    </row>
    <row r="63">
      <c r="B63" s="72" t="s">
        <v>96</v>
      </c>
      <c r="C63" s="73" t="s">
        <v>223</v>
      </c>
      <c r="D63" s="74" t="s">
        <v>1420</v>
      </c>
      <c r="E63" s="13" t="str">
        <f>HYPERLINK("https://youtu.be/Hb6PSC2b2rs","channel 1")</f>
        <v>channel 1</v>
      </c>
    </row>
    <row r="64">
      <c r="B64" s="72" t="s">
        <v>1418</v>
      </c>
      <c r="C64" s="73" t="s">
        <v>505</v>
      </c>
      <c r="D64" s="74" t="s">
        <v>1419</v>
      </c>
      <c r="E64" s="66" t="str">
        <f>HYPERLINK("https://youtu.be/sdGzO8EtD0s","channel 2")</f>
        <v>channel 2</v>
      </c>
    </row>
    <row r="65">
      <c r="B65" s="72" t="s">
        <v>896</v>
      </c>
      <c r="C65" s="73" t="s">
        <v>145</v>
      </c>
      <c r="D65" s="74" t="s">
        <v>1420</v>
      </c>
      <c r="E65" s="66" t="str">
        <f>HYPERLINK("https://youtu.be/MrSu55-uSV0","channel 1")</f>
        <v>channel 1</v>
      </c>
    </row>
    <row r="66">
      <c r="B66" s="72" t="s">
        <v>96</v>
      </c>
      <c r="C66" s="73" t="s">
        <v>38</v>
      </c>
      <c r="D66" s="74" t="s">
        <v>1419</v>
      </c>
      <c r="E66" s="13" t="str">
        <f>HYPERLINK("https://youtu.be/QptgCvLQOfo","channel 2")</f>
        <v>channel 2</v>
      </c>
    </row>
    <row r="67">
      <c r="B67" s="90" t="s">
        <v>1425</v>
      </c>
      <c r="C67" s="59"/>
      <c r="D67" s="60"/>
      <c r="E67" s="83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1426</v>
      </c>
      <c r="C69" s="73" t="s">
        <v>59</v>
      </c>
      <c r="D69" s="74" t="s">
        <v>794</v>
      </c>
      <c r="E69" s="66" t="str">
        <f>HYPERLINK("https://youtu.be/U7PLVDShDo8","channel 1")</f>
        <v>channel 1</v>
      </c>
    </row>
    <row r="70">
      <c r="B70" s="72" t="s">
        <v>769</v>
      </c>
      <c r="C70" s="91" t="s">
        <v>104</v>
      </c>
      <c r="D70" s="74" t="s">
        <v>220</v>
      </c>
      <c r="E70" s="13" t="str">
        <f>HYPERLINK("https://youtu.be/0DlMGYynkmo","channel 2")</f>
        <v>channel 2</v>
      </c>
    </row>
    <row r="71">
      <c r="B71" s="72" t="s">
        <v>432</v>
      </c>
      <c r="C71" s="73" t="s">
        <v>18</v>
      </c>
      <c r="D71" s="74" t="s">
        <v>1426</v>
      </c>
      <c r="E71" s="66" t="str">
        <f>HYPERLINK("https://youtu.be/mM7JEd0v2_c","channel 1")</f>
        <v>channel 1</v>
      </c>
    </row>
    <row r="72">
      <c r="B72" s="72" t="s">
        <v>769</v>
      </c>
      <c r="C72" s="73" t="s">
        <v>24</v>
      </c>
      <c r="D72" s="74" t="s">
        <v>794</v>
      </c>
      <c r="E72" s="13" t="str">
        <f>HYPERLINK("https://youtu.be/Nny0bOa1z74","channel 2")</f>
        <v>channel 2</v>
      </c>
    </row>
    <row r="73">
      <c r="B73" s="72" t="s">
        <v>432</v>
      </c>
      <c r="C73" s="73" t="s">
        <v>108</v>
      </c>
      <c r="D73" s="74" t="s">
        <v>220</v>
      </c>
      <c r="E73" s="66" t="str">
        <f>HYPERLINK("https://youtu.be/8eDJhpPY1QQ","channel 1")</f>
        <v>channel 1</v>
      </c>
    </row>
    <row r="74">
      <c r="B74" s="72" t="s">
        <v>769</v>
      </c>
      <c r="C74" s="73" t="s">
        <v>144</v>
      </c>
      <c r="D74" s="74" t="s">
        <v>1426</v>
      </c>
      <c r="E74" s="13" t="str">
        <f>HYPERLINK("https://youtu.be/85uFa90xoAs","channel 2")</f>
        <v>channel 2</v>
      </c>
    </row>
    <row r="75">
      <c r="B75" s="72" t="s">
        <v>432</v>
      </c>
      <c r="C75" s="73" t="s">
        <v>278</v>
      </c>
      <c r="D75" s="74" t="s">
        <v>794</v>
      </c>
      <c r="E75" s="66" t="str">
        <f>HYPERLINK("https://youtu.be/qvj7Q5jTxcc","channel 1")</f>
        <v>channel 1</v>
      </c>
    </row>
    <row r="76">
      <c r="B76" s="72" t="s">
        <v>220</v>
      </c>
      <c r="C76" s="73" t="s">
        <v>24</v>
      </c>
      <c r="D76" s="74" t="s">
        <v>1426</v>
      </c>
      <c r="E76" s="66" t="str">
        <f>HYPERLINK("https://youtu.be/eRt7jz0Iyh4","channel 2")</f>
        <v>channel 2</v>
      </c>
    </row>
    <row r="77">
      <c r="B77" s="72" t="s">
        <v>432</v>
      </c>
      <c r="C77" s="73" t="s">
        <v>135</v>
      </c>
      <c r="D77" s="74" t="s">
        <v>769</v>
      </c>
      <c r="E77" s="13" t="str">
        <f>HYPERLINK("https://youtu.be/67Ajyu7mnkI","channel 1")</f>
        <v>channel 1</v>
      </c>
    </row>
    <row r="78">
      <c r="B78" s="72" t="s">
        <v>220</v>
      </c>
      <c r="C78" s="73" t="s">
        <v>18</v>
      </c>
      <c r="D78" s="74" t="s">
        <v>794</v>
      </c>
      <c r="E78" s="66" t="str">
        <f>HYPERLINK("https://youtu.be/T_S-V69Ijb4","channel 2")</f>
        <v>channel 2</v>
      </c>
    </row>
    <row r="79">
      <c r="B79" s="72" t="s">
        <v>794</v>
      </c>
      <c r="C79" s="73" t="s">
        <v>47</v>
      </c>
      <c r="D79" s="74" t="s">
        <v>1426</v>
      </c>
      <c r="E79" s="13" t="str">
        <f>HYPERLINK("https://youtu.be/_uMMCG9Cpcc","channel 1")</f>
        <v>channel 1</v>
      </c>
    </row>
    <row r="80">
      <c r="B80" s="72" t="s">
        <v>220</v>
      </c>
      <c r="C80" s="73" t="s">
        <v>42</v>
      </c>
      <c r="D80" s="74" t="s">
        <v>769</v>
      </c>
      <c r="E80" s="66" t="str">
        <f>HYPERLINK("https://youtu.be/VU7_CAk8vIQ","channel 2")</f>
        <v>channel 2</v>
      </c>
    </row>
    <row r="81">
      <c r="B81" s="72" t="s">
        <v>1426</v>
      </c>
      <c r="C81" s="73" t="s">
        <v>398</v>
      </c>
      <c r="D81" s="74" t="s">
        <v>432</v>
      </c>
      <c r="E81" s="13" t="str">
        <f>HYPERLINK("https://youtu.be/EBRLDCOLyi4","channel 1")</f>
        <v>channel 1</v>
      </c>
    </row>
    <row r="82">
      <c r="B82" s="72" t="s">
        <v>794</v>
      </c>
      <c r="C82" s="73" t="s">
        <v>104</v>
      </c>
      <c r="D82" s="74" t="s">
        <v>769</v>
      </c>
      <c r="E82" s="66" t="str">
        <f>HYPERLINK("https://youtu.be/SXaJCeBnsYo","channel 2")</f>
        <v>channel 2</v>
      </c>
    </row>
    <row r="83">
      <c r="B83" s="72" t="s">
        <v>220</v>
      </c>
      <c r="C83" s="73" t="s">
        <v>47</v>
      </c>
      <c r="D83" s="74" t="s">
        <v>432</v>
      </c>
      <c r="E83" s="13" t="str">
        <f>HYPERLINK("https://youtu.be/4650DNcudp8","channel 1")</f>
        <v>channel 1</v>
      </c>
    </row>
    <row r="84">
      <c r="B84" s="72" t="s">
        <v>1426</v>
      </c>
      <c r="C84" s="73" t="s">
        <v>97</v>
      </c>
      <c r="D84" s="74" t="s">
        <v>769</v>
      </c>
      <c r="E84" s="66" t="str">
        <f>HYPERLINK("https://youtu.be/t1rtjvDlduk","channel 2")</f>
        <v>channel 2</v>
      </c>
    </row>
    <row r="85">
      <c r="B85" s="72" t="s">
        <v>794</v>
      </c>
      <c r="C85" s="73" t="s">
        <v>148</v>
      </c>
      <c r="D85" s="74" t="s">
        <v>432</v>
      </c>
      <c r="E85" s="13" t="str">
        <f>HYPERLINK("https://youtu.be/rRAfuPTYhKo","channel 1")</f>
        <v>channel 1</v>
      </c>
    </row>
    <row r="86">
      <c r="B86" s="72" t="s">
        <v>1426</v>
      </c>
      <c r="C86" s="73" t="s">
        <v>436</v>
      </c>
      <c r="D86" s="74" t="s">
        <v>220</v>
      </c>
      <c r="E86" s="66" t="str">
        <f>HYPERLINK("https://youtu.be/SAOAEDJymso","channel 2")</f>
        <v>channel 2</v>
      </c>
    </row>
    <row r="87">
      <c r="B87" s="72" t="s">
        <v>769</v>
      </c>
      <c r="C87" s="73" t="s">
        <v>42</v>
      </c>
      <c r="D87" s="74" t="s">
        <v>432</v>
      </c>
      <c r="E87" s="66" t="str">
        <f>HYPERLINK("https://youtu.be/Cm-SmI4v1_w","channel 1")</f>
        <v>channel 1</v>
      </c>
    </row>
    <row r="88">
      <c r="B88" s="72" t="s">
        <v>794</v>
      </c>
      <c r="C88" s="73" t="s">
        <v>146</v>
      </c>
      <c r="D88" s="74" t="s">
        <v>220</v>
      </c>
      <c r="E88" s="13" t="str">
        <f>HYPERLINK("https://youtu.be/CuHKKfnwTK8","channel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1421</v>
      </c>
      <c r="C3" s="73" t="s">
        <v>179</v>
      </c>
      <c r="D3" s="74" t="s">
        <v>1422</v>
      </c>
      <c r="E3" s="13" t="str">
        <f>HYPERLINK("https://youtu.be/fRPwh0NjGAo","channel 1")</f>
        <v>channel 1</v>
      </c>
    </row>
    <row r="4">
      <c r="B4" s="72" t="s">
        <v>1423</v>
      </c>
      <c r="C4" s="73" t="s">
        <v>109</v>
      </c>
      <c r="D4" s="74" t="s">
        <v>1424</v>
      </c>
      <c r="E4" s="66" t="str">
        <f>HYPERLINK("https://youtu.be/L4QYCDFA4aY","channel 2")</f>
        <v>channel 2</v>
      </c>
    </row>
    <row r="5">
      <c r="B5" s="72" t="s">
        <v>1315</v>
      </c>
      <c r="C5" s="73" t="s">
        <v>74</v>
      </c>
      <c r="D5" s="74" t="s">
        <v>1421</v>
      </c>
      <c r="E5" s="13" t="str">
        <f>HYPERLINK("https://youtu.be/rRP0NrPDkWY","channel 1")</f>
        <v>channel 1</v>
      </c>
    </row>
    <row r="6">
      <c r="B6" s="72" t="s">
        <v>1423</v>
      </c>
      <c r="C6" s="73" t="s">
        <v>157</v>
      </c>
      <c r="D6" s="74" t="s">
        <v>1422</v>
      </c>
      <c r="E6" s="66" t="str">
        <f>HYPERLINK("https://youtu.be/WuVRINDKI00","channel 2")</f>
        <v>channel 2</v>
      </c>
    </row>
    <row r="7">
      <c r="B7" s="72" t="s">
        <v>1315</v>
      </c>
      <c r="C7" s="73" t="s">
        <v>212</v>
      </c>
      <c r="D7" s="74" t="s">
        <v>1424</v>
      </c>
      <c r="E7" s="13" t="str">
        <f>HYPERLINK("https://youtu.be/iKgk4CdIIsw","channel 1")</f>
        <v>channel 1</v>
      </c>
    </row>
    <row r="8">
      <c r="B8" s="72" t="s">
        <v>1423</v>
      </c>
      <c r="C8" s="73" t="s">
        <v>85</v>
      </c>
      <c r="D8" s="74" t="s">
        <v>1421</v>
      </c>
      <c r="E8" s="66" t="str">
        <f>HYPERLINK("https://youtu.be/7d5ET3Dgcz8","channel 2")</f>
        <v>channel 2</v>
      </c>
    </row>
    <row r="9">
      <c r="B9" s="72" t="s">
        <v>1315</v>
      </c>
      <c r="C9" s="73" t="s">
        <v>328</v>
      </c>
      <c r="D9" s="74" t="s">
        <v>1422</v>
      </c>
      <c r="E9" s="13" t="str">
        <f>HYPERLINK("https://youtu.be/Sfhw4xMdjeM","channel 1")</f>
        <v>channel 1</v>
      </c>
    </row>
    <row r="10">
      <c r="B10" s="72" t="s">
        <v>1424</v>
      </c>
      <c r="C10" s="73" t="s">
        <v>10</v>
      </c>
      <c r="D10" s="74" t="s">
        <v>1421</v>
      </c>
      <c r="E10" s="66" t="str">
        <f>HYPERLINK("https://youtu.be/7266vJ_fjPQ","channel 2")</f>
        <v>channel 2</v>
      </c>
    </row>
    <row r="11">
      <c r="B11" s="72" t="s">
        <v>1315</v>
      </c>
      <c r="C11" s="73" t="s">
        <v>44</v>
      </c>
      <c r="D11" s="74" t="s">
        <v>1423</v>
      </c>
      <c r="E11" s="13" t="str">
        <f>HYPERLINK("https://youtu.be/HJpVqHvHp8I","channel 1")</f>
        <v>channel 1</v>
      </c>
    </row>
    <row r="12">
      <c r="B12" s="72" t="s">
        <v>1424</v>
      </c>
      <c r="C12" s="73" t="s">
        <v>223</v>
      </c>
      <c r="D12" s="74" t="s">
        <v>1422</v>
      </c>
      <c r="E12" s="66" t="str">
        <f>HYPERLINK("https://youtu.be/uzKb6OD7-9Q","channel 2")</f>
        <v>channel 2</v>
      </c>
    </row>
    <row r="13">
      <c r="B13" s="72" t="s">
        <v>1422</v>
      </c>
      <c r="C13" s="73" t="s">
        <v>375</v>
      </c>
      <c r="D13" s="74" t="s">
        <v>1421</v>
      </c>
      <c r="E13" s="13" t="str">
        <f>HYPERLINK("https://youtu.be/_9bpTHsa73Y","channel 1")</f>
        <v>channel 1</v>
      </c>
    </row>
    <row r="14">
      <c r="B14" s="72" t="s">
        <v>1424</v>
      </c>
      <c r="C14" s="73" t="s">
        <v>322</v>
      </c>
      <c r="D14" s="74" t="s">
        <v>1423</v>
      </c>
      <c r="E14" s="66" t="str">
        <f>HYPERLINK("https://youtu.be/D3B0ApdhZo4","channel 2")</f>
        <v>channel 2</v>
      </c>
    </row>
    <row r="15">
      <c r="B15" s="72" t="s">
        <v>1421</v>
      </c>
      <c r="C15" s="73" t="s">
        <v>49</v>
      </c>
      <c r="D15" s="74" t="s">
        <v>1315</v>
      </c>
      <c r="E15" s="13" t="str">
        <f>HYPERLINK("https://youtu.be/bNUZEVARuF8","channel 1")</f>
        <v>channel 1</v>
      </c>
    </row>
    <row r="16">
      <c r="B16" s="72" t="s">
        <v>1422</v>
      </c>
      <c r="C16" s="73" t="s">
        <v>237</v>
      </c>
      <c r="D16" s="74" t="s">
        <v>1423</v>
      </c>
      <c r="E16" s="66" t="str">
        <f>HYPERLINK("https://youtu.be/9zz6HUVqKyg","channel 2")</f>
        <v>channel 2</v>
      </c>
    </row>
    <row r="17">
      <c r="B17" s="72" t="s">
        <v>1424</v>
      </c>
      <c r="C17" s="73" t="s">
        <v>232</v>
      </c>
      <c r="D17" s="74" t="s">
        <v>1315</v>
      </c>
      <c r="E17" s="13" t="str">
        <f>HYPERLINK("https://youtu.be/ANCkQH36lSo","channel 1")</f>
        <v>channel 1</v>
      </c>
    </row>
    <row r="18">
      <c r="B18" s="72" t="s">
        <v>1421</v>
      </c>
      <c r="C18" s="73" t="s">
        <v>398</v>
      </c>
      <c r="D18" s="74" t="s">
        <v>1423</v>
      </c>
      <c r="E18" s="66" t="str">
        <f>HYPERLINK("https://youtu.be/eMKrUfS4uNg","channel 2")</f>
        <v>channel 2</v>
      </c>
    </row>
    <row r="19">
      <c r="B19" s="72" t="s">
        <v>1422</v>
      </c>
      <c r="C19" s="73" t="s">
        <v>111</v>
      </c>
      <c r="D19" s="74" t="s">
        <v>1315</v>
      </c>
      <c r="E19" s="13" t="str">
        <f>HYPERLINK("https://youtu.be/wAIw-32gsP0","channel 1")</f>
        <v>channel 1</v>
      </c>
    </row>
    <row r="20">
      <c r="B20" s="72" t="s">
        <v>1421</v>
      </c>
      <c r="C20" s="73" t="s">
        <v>296</v>
      </c>
      <c r="D20" s="74" t="s">
        <v>1424</v>
      </c>
      <c r="E20" s="66" t="str">
        <f>HYPERLINK("https://youtu.be/AobwtMSo5n0","channel 2")</f>
        <v>channel 2</v>
      </c>
    </row>
    <row r="21">
      <c r="B21" s="72" t="s">
        <v>1423</v>
      </c>
      <c r="C21" s="73" t="s">
        <v>1427</v>
      </c>
      <c r="D21" s="74" t="s">
        <v>1315</v>
      </c>
      <c r="E21" s="13" t="str">
        <f>HYPERLINK("https://youtu.be/L-1GQ79D-nY","channel 1")</f>
        <v>channel 1</v>
      </c>
    </row>
    <row r="22">
      <c r="B22" s="72" t="s">
        <v>1422</v>
      </c>
      <c r="C22" s="73" t="s">
        <v>135</v>
      </c>
      <c r="D22" s="74" t="s">
        <v>1424</v>
      </c>
      <c r="E22" s="66" t="str">
        <f>HYPERLINK("https://youtu.be/9_QM41tUiYA","channel 2")</f>
        <v>channel 2</v>
      </c>
    </row>
    <row r="23">
      <c r="B23" s="58" t="s">
        <v>1343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618</v>
      </c>
      <c r="C25" s="70" t="s">
        <v>761</v>
      </c>
      <c r="D25" s="71" t="s">
        <v>1428</v>
      </c>
      <c r="E25" s="13" t="str">
        <f>HYPERLINK("https://youtu.be/WdOUQT642hQ","channel 1")</f>
        <v>channel 1</v>
      </c>
    </row>
    <row r="26">
      <c r="B26" s="72" t="s">
        <v>1429</v>
      </c>
      <c r="C26" s="73" t="s">
        <v>103</v>
      </c>
      <c r="D26" s="74" t="s">
        <v>1430</v>
      </c>
      <c r="E26" s="66" t="str">
        <f>HYPERLINK("https://youtu.be/snDK-vINGp8","channel 2")</f>
        <v>channel 2</v>
      </c>
    </row>
    <row r="27">
      <c r="B27" s="72" t="s">
        <v>1431</v>
      </c>
      <c r="C27" s="73" t="s">
        <v>485</v>
      </c>
      <c r="D27" s="74" t="s">
        <v>618</v>
      </c>
      <c r="E27" s="13" t="str">
        <f>HYPERLINK("https://youtu.be/uM1Q0l2-xSU","channel 1")</f>
        <v>channel 1</v>
      </c>
    </row>
    <row r="28">
      <c r="B28" s="72" t="s">
        <v>1429</v>
      </c>
      <c r="C28" s="73" t="s">
        <v>106</v>
      </c>
      <c r="D28" s="74" t="s">
        <v>1428</v>
      </c>
      <c r="E28" s="66" t="str">
        <f>HYPERLINK("https://youtu.be/VmOla56Gux4","channel 2")</f>
        <v>channel 2</v>
      </c>
    </row>
    <row r="29">
      <c r="B29" s="72" t="s">
        <v>1431</v>
      </c>
      <c r="C29" s="73" t="s">
        <v>311</v>
      </c>
      <c r="D29" s="74" t="s">
        <v>1430</v>
      </c>
      <c r="E29" s="13" t="str">
        <f>HYPERLINK("https://youtu.be/SJIAMR4P9U8","channel 1")</f>
        <v>channel 1</v>
      </c>
    </row>
    <row r="30">
      <c r="B30" s="72" t="s">
        <v>1429</v>
      </c>
      <c r="C30" s="73" t="s">
        <v>10</v>
      </c>
      <c r="D30" s="74" t="s">
        <v>618</v>
      </c>
      <c r="E30" s="66" t="str">
        <f>HYPERLINK("https://youtu.be/5PnFUg4H2Jk","channel 2")</f>
        <v>channel 2</v>
      </c>
    </row>
    <row r="31">
      <c r="B31" s="72" t="s">
        <v>1431</v>
      </c>
      <c r="C31" s="73" t="s">
        <v>93</v>
      </c>
      <c r="D31" s="74" t="s">
        <v>1428</v>
      </c>
      <c r="E31" s="13" t="str">
        <f>HYPERLINK("https://youtu.be/nd7TpDNZdBA","channel 1")</f>
        <v>channel 1</v>
      </c>
    </row>
    <row r="32">
      <c r="B32" s="72" t="s">
        <v>1430</v>
      </c>
      <c r="C32" s="38" t="s">
        <v>24</v>
      </c>
      <c r="D32" s="74" t="s">
        <v>618</v>
      </c>
      <c r="E32" s="66" t="str">
        <f>HYPERLINK("https://youtu.be/EeEPsC_5qMY","channel 2")</f>
        <v>channel 2</v>
      </c>
    </row>
    <row r="33">
      <c r="B33" s="72" t="s">
        <v>1431</v>
      </c>
      <c r="C33" s="73" t="s">
        <v>102</v>
      </c>
      <c r="D33" s="74" t="s">
        <v>1429</v>
      </c>
      <c r="E33" s="13" t="str">
        <f>HYPERLINK("https://youtu.be/Xc_qjONfQZM","channel 1")</f>
        <v>channel 1</v>
      </c>
    </row>
    <row r="34">
      <c r="B34" s="72" t="s">
        <v>1430</v>
      </c>
      <c r="C34" s="73" t="s">
        <v>103</v>
      </c>
      <c r="D34" s="74" t="s">
        <v>1428</v>
      </c>
      <c r="E34" s="66" t="str">
        <f>HYPERLINK("https://youtu.be/mWzvSQMCL4U","channel 2")</f>
        <v>channel 2</v>
      </c>
    </row>
    <row r="35">
      <c r="B35" s="72" t="s">
        <v>1428</v>
      </c>
      <c r="C35" s="73" t="s">
        <v>10</v>
      </c>
      <c r="D35" s="74" t="s">
        <v>618</v>
      </c>
      <c r="E35" s="13" t="str">
        <f>HYPERLINK("https://youtu.be/_-Pr0niwFvU","channel 1")</f>
        <v>channel 1</v>
      </c>
    </row>
    <row r="36">
      <c r="B36" s="72" t="s">
        <v>1430</v>
      </c>
      <c r="C36" s="73" t="s">
        <v>46</v>
      </c>
      <c r="D36" s="74" t="s">
        <v>1429</v>
      </c>
      <c r="E36" s="66" t="str">
        <f>HYPERLINK("https://youtu.be/rSE5VxR-nSE","channel 2")</f>
        <v>channel 2</v>
      </c>
    </row>
    <row r="37">
      <c r="B37" s="72" t="s">
        <v>618</v>
      </c>
      <c r="C37" s="73" t="s">
        <v>806</v>
      </c>
      <c r="D37" s="74" t="s">
        <v>1431</v>
      </c>
      <c r="E37" s="13" t="str">
        <f>HYPERLINK("https://youtu.be/gReWn2ILzuM","channel 1")</f>
        <v>channel 1</v>
      </c>
    </row>
    <row r="38">
      <c r="B38" s="72" t="s">
        <v>1428</v>
      </c>
      <c r="C38" s="73" t="s">
        <v>49</v>
      </c>
      <c r="D38" s="74" t="s">
        <v>1429</v>
      </c>
      <c r="E38" s="66" t="str">
        <f>HYPERLINK("https://youtu.be/T-Lomuxrw-w","channel 2")</f>
        <v>channel 2</v>
      </c>
    </row>
    <row r="39">
      <c r="B39" s="72" t="s">
        <v>1430</v>
      </c>
      <c r="C39" s="73" t="s">
        <v>47</v>
      </c>
      <c r="D39" s="74" t="s">
        <v>1431</v>
      </c>
      <c r="E39" s="13" t="str">
        <f>HYPERLINK("https://youtu.be/abXoArbttoY","channel 1")</f>
        <v>channel 1</v>
      </c>
    </row>
    <row r="40">
      <c r="B40" s="72" t="s">
        <v>618</v>
      </c>
      <c r="C40" s="73" t="s">
        <v>59</v>
      </c>
      <c r="D40" s="74" t="s">
        <v>1429</v>
      </c>
      <c r="E40" s="66" t="str">
        <f>HYPERLINK("https://youtu.be/t3bKudbLfe0","channel 2")</f>
        <v>channel 2</v>
      </c>
    </row>
    <row r="41">
      <c r="B41" s="72" t="s">
        <v>1428</v>
      </c>
      <c r="C41" s="73" t="s">
        <v>671</v>
      </c>
      <c r="D41" s="74" t="s">
        <v>1431</v>
      </c>
      <c r="E41" s="13" t="str">
        <f>HYPERLINK("https://youtu.be/22AeLHIHAmM","channel 1")</f>
        <v>channel 1</v>
      </c>
    </row>
    <row r="42">
      <c r="B42" s="72" t="s">
        <v>618</v>
      </c>
      <c r="C42" s="73" t="s">
        <v>106</v>
      </c>
      <c r="D42" s="74" t="s">
        <v>1430</v>
      </c>
      <c r="E42" s="66" t="str">
        <f>HYPERLINK("https://youtu.be/AsjEyR0ymmk","channel 2")</f>
        <v>channel 2</v>
      </c>
    </row>
    <row r="43">
      <c r="B43" s="72" t="s">
        <v>1429</v>
      </c>
      <c r="C43" s="73" t="s">
        <v>18</v>
      </c>
      <c r="D43" s="74" t="s">
        <v>1431</v>
      </c>
      <c r="E43" s="13" t="str">
        <f>HYPERLINK("https://youtu.be/l6ejOdwzHN4","channel 1")</f>
        <v>channel 1</v>
      </c>
    </row>
    <row r="44">
      <c r="B44" s="72" t="s">
        <v>1428</v>
      </c>
      <c r="C44" s="73" t="s">
        <v>821</v>
      </c>
      <c r="D44" s="74" t="s">
        <v>1430</v>
      </c>
      <c r="E44" s="66" t="str">
        <f>HYPERLINK("https://youtu.be/Bsl3ebwwJ-g","channel 2")</f>
        <v>channel 2</v>
      </c>
    </row>
    <row r="45">
      <c r="B45" s="77" t="s">
        <v>112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1287</v>
      </c>
      <c r="C47" s="73" t="s">
        <v>462</v>
      </c>
      <c r="D47" s="74" t="s">
        <v>681</v>
      </c>
      <c r="E47" s="13" t="str">
        <f>HYPERLINK("https://youtu.be/MLbUUUF9wWU","channel 1")</f>
        <v>channel 1</v>
      </c>
    </row>
    <row r="48">
      <c r="B48" s="72" t="s">
        <v>1432</v>
      </c>
      <c r="C48" s="73" t="s">
        <v>460</v>
      </c>
      <c r="D48" s="74" t="s">
        <v>1433</v>
      </c>
      <c r="E48" s="66" t="str">
        <f>HYPERLINK("https://youtu.be/GzJm5QM0dJ8","channel 2")</f>
        <v>channel 2</v>
      </c>
    </row>
    <row r="49">
      <c r="B49" s="72" t="s">
        <v>1434</v>
      </c>
      <c r="C49" s="73" t="s">
        <v>61</v>
      </c>
      <c r="D49" s="74" t="s">
        <v>1287</v>
      </c>
      <c r="E49" s="13" t="str">
        <f>HYPERLINK("https://youtu.be/XRZzUWiFwng","channel 1")</f>
        <v>channel 1</v>
      </c>
    </row>
    <row r="50">
      <c r="B50" s="72" t="s">
        <v>1432</v>
      </c>
      <c r="C50" s="73" t="s">
        <v>90</v>
      </c>
      <c r="D50" s="74" t="s">
        <v>681</v>
      </c>
      <c r="E50" s="66" t="str">
        <f>HYPERLINK("https://youtu.be/akmY7JJqv2s","channel 2")</f>
        <v>channel 2</v>
      </c>
    </row>
    <row r="51">
      <c r="B51" s="72" t="s">
        <v>1434</v>
      </c>
      <c r="C51" s="73" t="s">
        <v>237</v>
      </c>
      <c r="D51" s="74" t="s">
        <v>1433</v>
      </c>
      <c r="E51" s="13" t="str">
        <f>HYPERLINK("https://youtu.be/rfivHczAGd4","channel 1")</f>
        <v>channel 1</v>
      </c>
    </row>
    <row r="52">
      <c r="B52" s="72" t="s">
        <v>1432</v>
      </c>
      <c r="C52" s="73" t="s">
        <v>179</v>
      </c>
      <c r="D52" s="74" t="s">
        <v>1287</v>
      </c>
      <c r="E52" s="66" t="str">
        <f>HYPERLINK("https://youtu.be/y9OXxHhwNpQ","channel 2")</f>
        <v>channel 2</v>
      </c>
    </row>
    <row r="53">
      <c r="B53" s="72" t="s">
        <v>1434</v>
      </c>
      <c r="C53" s="73" t="s">
        <v>111</v>
      </c>
      <c r="D53" s="74" t="s">
        <v>681</v>
      </c>
      <c r="E53" s="13" t="str">
        <f>HYPERLINK("https://youtu.be/xpkEG-WCdy8","channel 1")</f>
        <v>channel 1</v>
      </c>
    </row>
    <row r="54">
      <c r="B54" s="72" t="s">
        <v>1433</v>
      </c>
      <c r="C54" s="73" t="s">
        <v>1435</v>
      </c>
      <c r="D54" s="74" t="s">
        <v>1287</v>
      </c>
      <c r="E54" s="66" t="str">
        <f>HYPERLINK("https://youtu.be/NJosApaaxag","channel 2")</f>
        <v>channel 2</v>
      </c>
    </row>
    <row r="55">
      <c r="B55" s="72" t="s">
        <v>1434</v>
      </c>
      <c r="C55" s="73" t="s">
        <v>88</v>
      </c>
      <c r="D55" s="74" t="s">
        <v>1432</v>
      </c>
      <c r="E55" s="13" t="str">
        <f>HYPERLINK("https://youtu.be/xwplJwswEQA","channel 1")</f>
        <v>channel 1</v>
      </c>
    </row>
    <row r="56">
      <c r="B56" s="72" t="s">
        <v>1433</v>
      </c>
      <c r="C56" s="73" t="s">
        <v>257</v>
      </c>
      <c r="D56" s="74" t="s">
        <v>681</v>
      </c>
      <c r="E56" s="66" t="str">
        <f>HYPERLINK("https://youtu.be/-dDjgHRbjz8","channel 2")</f>
        <v>channel 2</v>
      </c>
    </row>
    <row r="57">
      <c r="B57" s="72" t="s">
        <v>681</v>
      </c>
      <c r="C57" s="73" t="s">
        <v>304</v>
      </c>
      <c r="D57" s="74" t="s">
        <v>1287</v>
      </c>
      <c r="E57" s="13" t="str">
        <f>HYPERLINK("https://youtu.be/omOc8JBkop4","channel 1")</f>
        <v>channel 1</v>
      </c>
    </row>
    <row r="58">
      <c r="B58" s="72" t="s">
        <v>1433</v>
      </c>
      <c r="C58" s="73" t="s">
        <v>111</v>
      </c>
      <c r="D58" s="74" t="s">
        <v>1432</v>
      </c>
      <c r="E58" s="66" t="str">
        <f>HYPERLINK("https://youtu.be/nXonI7wSWy0","channel 2")</f>
        <v>channel 2</v>
      </c>
    </row>
    <row r="59">
      <c r="B59" s="72" t="s">
        <v>1287</v>
      </c>
      <c r="C59" s="73" t="s">
        <v>93</v>
      </c>
      <c r="D59" s="74" t="s">
        <v>1434</v>
      </c>
      <c r="E59" s="13" t="str">
        <f>HYPERLINK("https://youtu.be/kyAHKb7pwSY","channel 1")</f>
        <v>channel 1</v>
      </c>
    </row>
    <row r="60">
      <c r="B60" s="72" t="s">
        <v>681</v>
      </c>
      <c r="C60" s="73" t="s">
        <v>30</v>
      </c>
      <c r="D60" s="74" t="s">
        <v>1432</v>
      </c>
      <c r="E60" s="66" t="str">
        <f>HYPERLINK("https://youtu.be/nBdQFaENGBs","channel 2")</f>
        <v>channel 2</v>
      </c>
    </row>
    <row r="61">
      <c r="B61" s="72" t="s">
        <v>1433</v>
      </c>
      <c r="C61" s="73" t="s">
        <v>785</v>
      </c>
      <c r="D61" s="74" t="s">
        <v>1434</v>
      </c>
      <c r="E61" s="13" t="str">
        <f>HYPERLINK("https://youtu.be/4CF_BS-yQ64","channel 1")</f>
        <v>channel 1</v>
      </c>
    </row>
    <row r="62">
      <c r="B62" s="72" t="s">
        <v>1287</v>
      </c>
      <c r="C62" s="73" t="s">
        <v>109</v>
      </c>
      <c r="D62" s="74" t="s">
        <v>1432</v>
      </c>
      <c r="E62" s="66" t="str">
        <f>HYPERLINK("https://youtu.be/EtqCRQTOhm0","channel 2")</f>
        <v>channel 2</v>
      </c>
    </row>
    <row r="63">
      <c r="B63" s="72" t="s">
        <v>681</v>
      </c>
      <c r="C63" s="73" t="s">
        <v>82</v>
      </c>
      <c r="D63" s="74" t="s">
        <v>1434</v>
      </c>
      <c r="E63" s="13" t="str">
        <f>HYPERLINK("https://youtu.be/lICaPdpAo6s+","channel 1")</f>
        <v>channel 1</v>
      </c>
    </row>
    <row r="64">
      <c r="B64" s="72" t="s">
        <v>1287</v>
      </c>
      <c r="C64" s="73" t="s">
        <v>1296</v>
      </c>
      <c r="D64" s="74" t="s">
        <v>1433</v>
      </c>
      <c r="E64" s="66" t="str">
        <f>HYPERLINK("https://youtu.be/ZWsEDqh4ip0","channel 2")</f>
        <v>channel 2</v>
      </c>
    </row>
    <row r="65">
      <c r="B65" s="72" t="s">
        <v>1432</v>
      </c>
      <c r="C65" s="73" t="s">
        <v>337</v>
      </c>
      <c r="D65" s="74" t="s">
        <v>1434</v>
      </c>
      <c r="E65" s="13" t="str">
        <f>HYPERLINK("https://youtu.be/dgh6WHWsah0","channel 1")</f>
        <v>channel 1</v>
      </c>
    </row>
    <row r="66">
      <c r="B66" s="72" t="s">
        <v>681</v>
      </c>
      <c r="C66" s="73" t="s">
        <v>255</v>
      </c>
      <c r="D66" s="74" t="s">
        <v>1433</v>
      </c>
      <c r="E66" s="66" t="str">
        <f>HYPERLINK("https://youtu.be/Nwn6j28Wu9U","channel 2")</f>
        <v>channel 2</v>
      </c>
    </row>
    <row r="67">
      <c r="B67" s="77" t="s">
        <v>1150</v>
      </c>
      <c r="C67" s="59"/>
      <c r="D67" s="59"/>
      <c r="E67" s="6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1154</v>
      </c>
      <c r="C69" s="73" t="s">
        <v>278</v>
      </c>
      <c r="D69" s="74" t="s">
        <v>1151</v>
      </c>
      <c r="E69" s="13" t="str">
        <f>HYPERLINK("https://youtu.be/8oCtB263hyc","channel 1")</f>
        <v>channel 1</v>
      </c>
    </row>
    <row r="70">
      <c r="B70" s="72" t="s">
        <v>1436</v>
      </c>
      <c r="C70" s="73" t="s">
        <v>61</v>
      </c>
      <c r="D70" s="74" t="s">
        <v>1437</v>
      </c>
      <c r="E70" s="66" t="str">
        <f>HYPERLINK("https://youtu.be/5Wyj3b4EzZw","channel 2")</f>
        <v>channel 2</v>
      </c>
    </row>
    <row r="71">
      <c r="B71" s="72" t="s">
        <v>1438</v>
      </c>
      <c r="C71" s="73" t="s">
        <v>47</v>
      </c>
      <c r="D71" s="74" t="s">
        <v>1154</v>
      </c>
      <c r="E71" s="13" t="str">
        <f>HYPERLINK("https://youtu.be/hkQzafGWOAQ","channel 1")</f>
        <v>channel 1</v>
      </c>
    </row>
    <row r="72">
      <c r="B72" s="72" t="s">
        <v>1436</v>
      </c>
      <c r="C72" s="73" t="s">
        <v>278</v>
      </c>
      <c r="D72" s="74" t="s">
        <v>1151</v>
      </c>
      <c r="E72" s="66" t="str">
        <f>HYPERLINK("https://youtu.be/lsrHjGfI9ME","channel 2")</f>
        <v>channel 2</v>
      </c>
    </row>
    <row r="73">
      <c r="B73" s="72" t="s">
        <v>1438</v>
      </c>
      <c r="C73" s="73" t="s">
        <v>144</v>
      </c>
      <c r="D73" s="74" t="s">
        <v>1437</v>
      </c>
      <c r="E73" s="13" t="str">
        <f>HYPERLINK("https://youtu.be/7z_9nBl7UO0","channel 1")</f>
        <v>channel 1</v>
      </c>
    </row>
    <row r="74">
      <c r="B74" s="72" t="s">
        <v>1436</v>
      </c>
      <c r="C74" s="73" t="s">
        <v>33</v>
      </c>
      <c r="D74" s="74" t="s">
        <v>1154</v>
      </c>
      <c r="E74" s="66" t="str">
        <f>HYPERLINK("https://youtu.be/J3WcaaugWB4","channel 2")</f>
        <v>channel 2</v>
      </c>
    </row>
    <row r="75">
      <c r="B75" s="72" t="s">
        <v>1438</v>
      </c>
      <c r="C75" s="73" t="s">
        <v>32</v>
      </c>
      <c r="D75" s="74" t="s">
        <v>1151</v>
      </c>
      <c r="E75" s="13" t="str">
        <f>HYPERLINK("https://youtu.be/WWSwCKx8uJ8","channel 1")</f>
        <v>channel 1</v>
      </c>
    </row>
    <row r="76">
      <c r="B76" s="72" t="s">
        <v>1437</v>
      </c>
      <c r="C76" s="73" t="s">
        <v>322</v>
      </c>
      <c r="D76" s="74" t="s">
        <v>1154</v>
      </c>
      <c r="E76" s="66" t="str">
        <f>HYPERLINK("https://youtu.be/kKkmcd_WgAM","channel 2")</f>
        <v>channel 2</v>
      </c>
    </row>
    <row r="77">
      <c r="B77" s="72" t="s">
        <v>1438</v>
      </c>
      <c r="C77" s="73" t="s">
        <v>49</v>
      </c>
      <c r="D77" s="74" t="s">
        <v>1436</v>
      </c>
      <c r="E77" s="13" t="str">
        <f>HYPERLINK("https://youtu.be/52FippLgq9w","channel 1")</f>
        <v>channel 1</v>
      </c>
    </row>
    <row r="78">
      <c r="B78" s="72" t="s">
        <v>1437</v>
      </c>
      <c r="C78" s="73" t="s">
        <v>442</v>
      </c>
      <c r="D78" s="74" t="s">
        <v>1151</v>
      </c>
      <c r="E78" s="66" t="str">
        <f>HYPERLINK("https://youtu.be/X8PoDCi5WfY","channel 2")</f>
        <v>channel 2</v>
      </c>
    </row>
    <row r="79">
      <c r="B79" s="72" t="s">
        <v>1151</v>
      </c>
      <c r="C79" s="73" t="s">
        <v>103</v>
      </c>
      <c r="D79" s="74" t="s">
        <v>1154</v>
      </c>
      <c r="E79" s="13" t="str">
        <f>HYPERLINK("https://youtu.be/Fqq9xpab32E","channel 1")</f>
        <v>channel 1</v>
      </c>
    </row>
    <row r="80">
      <c r="B80" s="72" t="s">
        <v>1437</v>
      </c>
      <c r="C80" s="73" t="s">
        <v>297</v>
      </c>
      <c r="D80" s="74" t="s">
        <v>1436</v>
      </c>
      <c r="E80" s="66" t="str">
        <f>HYPERLINK("https://youtu.be/gUDBcuRfuiM","channel 2")</f>
        <v>channel 2</v>
      </c>
    </row>
    <row r="81">
      <c r="B81" s="72" t="s">
        <v>1154</v>
      </c>
      <c r="C81" s="73" t="s">
        <v>116</v>
      </c>
      <c r="D81" s="74" t="s">
        <v>1438</v>
      </c>
      <c r="E81" s="13" t="str">
        <f>HYPERLINK("https://youtu.be/1G7UWofE798","channel 1")</f>
        <v>channel 1</v>
      </c>
    </row>
    <row r="82">
      <c r="B82" s="72" t="s">
        <v>1151</v>
      </c>
      <c r="C82" s="73" t="s">
        <v>135</v>
      </c>
      <c r="D82" s="74" t="s">
        <v>1436</v>
      </c>
      <c r="E82" s="66" t="str">
        <f>HYPERLINK("https://youtu.be/2dzLmiUNbQ4","channel 2")</f>
        <v>channel 2</v>
      </c>
    </row>
    <row r="83">
      <c r="B83" s="72" t="s">
        <v>1437</v>
      </c>
      <c r="C83" s="73" t="s">
        <v>109</v>
      </c>
      <c r="D83" s="74" t="s">
        <v>1438</v>
      </c>
      <c r="E83" s="13" t="str">
        <f>HYPERLINK("https://youtu.be/zqSiD8c4ZUY","channel 1")</f>
        <v>channel 1</v>
      </c>
    </row>
    <row r="84">
      <c r="B84" s="72" t="s">
        <v>1154</v>
      </c>
      <c r="C84" s="73" t="s">
        <v>156</v>
      </c>
      <c r="D84" s="74" t="s">
        <v>1436</v>
      </c>
      <c r="E84" s="66" t="str">
        <f>HYPERLINK("https://youtu.be/-yKwI3m_HaE","channel 2")</f>
        <v>channel 2</v>
      </c>
    </row>
    <row r="85">
      <c r="B85" s="72" t="s">
        <v>1151</v>
      </c>
      <c r="C85" s="73" t="s">
        <v>30</v>
      </c>
      <c r="D85" s="74" t="s">
        <v>1438</v>
      </c>
      <c r="E85" s="13" t="str">
        <f>HYPERLINK("https://youtu.be/3qGhb54ZChg","channel 1")</f>
        <v>channel 1</v>
      </c>
    </row>
    <row r="86">
      <c r="B86" s="72" t="s">
        <v>1154</v>
      </c>
      <c r="C86" s="73" t="s">
        <v>675</v>
      </c>
      <c r="D86" s="74" t="s">
        <v>1437</v>
      </c>
      <c r="E86" s="66" t="str">
        <f>HYPERLINK("https://youtu.be/E84hphdXwVA","channel 2")</f>
        <v>channel 2</v>
      </c>
    </row>
    <row r="87">
      <c r="B87" s="72" t="s">
        <v>1436</v>
      </c>
      <c r="C87" s="73" t="s">
        <v>223</v>
      </c>
      <c r="D87" s="74" t="s">
        <v>1438</v>
      </c>
      <c r="E87" s="13" t="str">
        <f>HYPERLINK("https://youtu.be/qgnh1irKcf8","channel 1")</f>
        <v>channel 1</v>
      </c>
    </row>
    <row r="88">
      <c r="B88" s="72" t="s">
        <v>1151</v>
      </c>
      <c r="C88" s="73" t="s">
        <v>34</v>
      </c>
      <c r="D88" s="74" t="s">
        <v>1437</v>
      </c>
      <c r="E88" s="66" t="str">
        <f>HYPERLINK("https://youtu.be/hyQTT8Q25xQ","channel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1439</v>
      </c>
      <c r="C3" s="73" t="s">
        <v>156</v>
      </c>
      <c r="D3" s="74" t="s">
        <v>1440</v>
      </c>
      <c r="E3" s="13" t="str">
        <f>HYPERLINK("https://youtu.be/r93Obin2PuU","channel 1")</f>
        <v>channel 1</v>
      </c>
    </row>
    <row r="4">
      <c r="B4" s="72" t="s">
        <v>1441</v>
      </c>
      <c r="C4" s="73" t="s">
        <v>84</v>
      </c>
      <c r="D4" s="74" t="s">
        <v>804</v>
      </c>
      <c r="E4" s="66" t="str">
        <f>HYPERLINK("https://youtu.be/nA5qJ4f0g9g","channel 2")</f>
        <v>channel 2</v>
      </c>
    </row>
    <row r="5">
      <c r="B5" s="72" t="s">
        <v>803</v>
      </c>
      <c r="C5" s="73" t="s">
        <v>97</v>
      </c>
      <c r="D5" s="74" t="s">
        <v>1439</v>
      </c>
      <c r="E5" s="13" t="str">
        <f>HYPERLINK("https://youtu.be/eloAqyGzL2M","channel 1")</f>
        <v>channel 1</v>
      </c>
    </row>
    <row r="6">
      <c r="B6" s="72" t="s">
        <v>1441</v>
      </c>
      <c r="C6" s="73" t="s">
        <v>420</v>
      </c>
      <c r="D6" s="74" t="s">
        <v>1440</v>
      </c>
      <c r="E6" s="66" t="str">
        <f>HYPERLINK("https://youtu.be/j9AqQdw2FUw","channel 2")</f>
        <v>channel 2</v>
      </c>
    </row>
    <row r="7">
      <c r="B7" s="72" t="s">
        <v>803</v>
      </c>
      <c r="C7" s="73" t="s">
        <v>148</v>
      </c>
      <c r="D7" s="74" t="s">
        <v>804</v>
      </c>
      <c r="E7" s="13" t="str">
        <f>HYPERLINK("https://youtu.be/IoiZd8tzDpk","channel 1")</f>
        <v>channel 1</v>
      </c>
    </row>
    <row r="8">
      <c r="B8" s="72" t="s">
        <v>1441</v>
      </c>
      <c r="C8" s="73" t="s">
        <v>188</v>
      </c>
      <c r="D8" s="74" t="s">
        <v>1439</v>
      </c>
      <c r="E8" s="66" t="str">
        <f>HYPERLINK("https://youtu.be/4S2cMvTW4Vw","channel 2")</f>
        <v>channel 2</v>
      </c>
    </row>
    <row r="9">
      <c r="B9" s="72" t="s">
        <v>803</v>
      </c>
      <c r="C9" s="73" t="s">
        <v>133</v>
      </c>
      <c r="D9" s="74" t="s">
        <v>1440</v>
      </c>
      <c r="E9" s="13" t="str">
        <f>HYPERLINK("https://youtu.be/AAt3ILibmJk","channel 1")</f>
        <v>channel 1</v>
      </c>
    </row>
    <row r="10">
      <c r="B10" s="72" t="s">
        <v>804</v>
      </c>
      <c r="C10" s="73" t="s">
        <v>77</v>
      </c>
      <c r="D10" s="74" t="s">
        <v>1439</v>
      </c>
      <c r="E10" s="66" t="str">
        <f>HYPERLINK("https://youtu.be/IjKbk58MmBk","channel 2")</f>
        <v>channel 2</v>
      </c>
    </row>
    <row r="11">
      <c r="B11" s="72" t="s">
        <v>803</v>
      </c>
      <c r="C11" s="73" t="s">
        <v>555</v>
      </c>
      <c r="D11" s="74" t="s">
        <v>1441</v>
      </c>
      <c r="E11" s="13" t="str">
        <f>HYPERLINK("https://youtu.be/sQ0VR9Hdn8o","channel 1")</f>
        <v>channel 1</v>
      </c>
    </row>
    <row r="12">
      <c r="B12" s="72" t="s">
        <v>804</v>
      </c>
      <c r="C12" s="73" t="s">
        <v>104</v>
      </c>
      <c r="D12" s="74" t="s">
        <v>1440</v>
      </c>
      <c r="E12" s="66" t="str">
        <f>HYPERLINK("https://youtu.be/h7A-zveVwiY","channel 2")</f>
        <v>channel 2</v>
      </c>
    </row>
    <row r="13">
      <c r="B13" s="72" t="s">
        <v>1440</v>
      </c>
      <c r="C13" s="73" t="s">
        <v>460</v>
      </c>
      <c r="D13" s="74" t="s">
        <v>1439</v>
      </c>
      <c r="E13" s="13" t="str">
        <f>HYPERLINK("https://youtu.be/nR7gVZTbLLc","channel 1")</f>
        <v>channel 1</v>
      </c>
    </row>
    <row r="14">
      <c r="B14" s="72" t="s">
        <v>804</v>
      </c>
      <c r="C14" s="73" t="s">
        <v>34</v>
      </c>
      <c r="D14" s="74" t="s">
        <v>1441</v>
      </c>
      <c r="E14" s="66" t="str">
        <f>HYPERLINK("https://youtu.be/-RoRFioMTjk","channel 2")</f>
        <v>channel 2</v>
      </c>
    </row>
    <row r="15">
      <c r="B15" s="72" t="s">
        <v>1439</v>
      </c>
      <c r="C15" s="73" t="s">
        <v>179</v>
      </c>
      <c r="D15" s="74" t="s">
        <v>803</v>
      </c>
      <c r="E15" s="13" t="str">
        <f>HYPERLINK("https://youtu.be/UtaU1GYXUwY","channel 1")</f>
        <v>channel 1</v>
      </c>
    </row>
    <row r="16">
      <c r="B16" s="72" t="s">
        <v>1440</v>
      </c>
      <c r="C16" s="73" t="s">
        <v>113</v>
      </c>
      <c r="D16" s="74" t="s">
        <v>1441</v>
      </c>
      <c r="E16" s="66" t="str">
        <f>HYPERLINK("https://youtu.be/WZxZCkhVlvw","channel 2")</f>
        <v>channel 2</v>
      </c>
    </row>
    <row r="17">
      <c r="B17" s="72" t="s">
        <v>804</v>
      </c>
      <c r="C17" s="73" t="s">
        <v>278</v>
      </c>
      <c r="D17" s="74" t="s">
        <v>803</v>
      </c>
      <c r="E17" s="13" t="str">
        <f>HYPERLINK("https://youtu.be/zLS1ES7zQN4","channel 1")</f>
        <v>channel 1</v>
      </c>
    </row>
    <row r="18">
      <c r="B18" s="72" t="s">
        <v>1439</v>
      </c>
      <c r="C18" s="73" t="s">
        <v>44</v>
      </c>
      <c r="D18" s="74" t="s">
        <v>1441</v>
      </c>
      <c r="E18" s="66" t="str">
        <f>HYPERLINK("https://youtu.be/0Hdqpy2dBn4","channel 2")</f>
        <v>channel 2</v>
      </c>
    </row>
    <row r="19">
      <c r="B19" s="72" t="s">
        <v>1440</v>
      </c>
      <c r="C19" s="73" t="s">
        <v>89</v>
      </c>
      <c r="D19" s="74" t="s">
        <v>803</v>
      </c>
      <c r="E19" s="13" t="str">
        <f>HYPERLINK("https://youtu.be/87NT8TdGP5o","channel 1")</f>
        <v>channel 1</v>
      </c>
    </row>
    <row r="20">
      <c r="B20" s="72" t="s">
        <v>1439</v>
      </c>
      <c r="C20" s="73" t="s">
        <v>538</v>
      </c>
      <c r="D20" s="74" t="s">
        <v>804</v>
      </c>
      <c r="E20" s="66" t="str">
        <f>HYPERLINK("https://youtu.be/JtOeST55yFI","channel 2")</f>
        <v>channel 2</v>
      </c>
    </row>
    <row r="21">
      <c r="B21" s="72" t="s">
        <v>1441</v>
      </c>
      <c r="C21" s="73" t="s">
        <v>595</v>
      </c>
      <c r="D21" s="74" t="s">
        <v>803</v>
      </c>
      <c r="E21" s="13" t="str">
        <f>HYPERLINK("https://youtu.be/M2B49BE42tg","channel 1")</f>
        <v>channel 1</v>
      </c>
    </row>
    <row r="22">
      <c r="B22" s="72" t="s">
        <v>1440</v>
      </c>
      <c r="C22" s="73" t="s">
        <v>146</v>
      </c>
      <c r="D22" s="74" t="s">
        <v>804</v>
      </c>
      <c r="E22" s="66" t="str">
        <f>HYPERLINK("https://youtu.be/O3DX_0sjKTg","channel 2")</f>
        <v>channel 2</v>
      </c>
    </row>
    <row r="23">
      <c r="B23" s="58" t="s">
        <v>580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115</v>
      </c>
      <c r="C25" s="73" t="s">
        <v>522</v>
      </c>
      <c r="D25" s="74" t="s">
        <v>1016</v>
      </c>
      <c r="E25" s="13" t="str">
        <f>HYPERLINK("https://youtu.be/gq9zxSOgGPg","channel 1")</f>
        <v>channel 1</v>
      </c>
    </row>
    <row r="26">
      <c r="B26" s="72" t="s">
        <v>1442</v>
      </c>
      <c r="C26" s="73" t="s">
        <v>35</v>
      </c>
      <c r="D26" s="74" t="s">
        <v>1443</v>
      </c>
      <c r="E26" s="66" t="str">
        <f>HYPERLINK("https://youtu.be/h53zl-QfmJs","channel 2")</f>
        <v>channel 2</v>
      </c>
    </row>
    <row r="27">
      <c r="B27" s="72" t="s">
        <v>980</v>
      </c>
      <c r="C27" s="73" t="s">
        <v>106</v>
      </c>
      <c r="D27" s="74" t="s">
        <v>115</v>
      </c>
      <c r="E27" s="13" t="str">
        <f>HYPERLINK("https://youtu.be/pS-GjSaEyLc","channel 1")</f>
        <v>channel 1</v>
      </c>
    </row>
    <row r="28">
      <c r="B28" s="72" t="s">
        <v>1442</v>
      </c>
      <c r="C28" s="73" t="s">
        <v>260</v>
      </c>
      <c r="D28" s="74" t="s">
        <v>1016</v>
      </c>
      <c r="E28" s="66" t="str">
        <f>HYPERLINK("https://youtu.be/aeGthH0valk","channel 2")</f>
        <v>channel 2</v>
      </c>
    </row>
    <row r="29">
      <c r="B29" s="72" t="s">
        <v>980</v>
      </c>
      <c r="C29" s="73" t="s">
        <v>103</v>
      </c>
      <c r="D29" s="74" t="s">
        <v>1443</v>
      </c>
      <c r="E29" s="13" t="str">
        <f>HYPERLINK("https://youtu.be/lyF7exH68rQ","channel 1")</f>
        <v>channel 1</v>
      </c>
    </row>
    <row r="30">
      <c r="B30" s="72" t="s">
        <v>1442</v>
      </c>
      <c r="C30" s="73" t="s">
        <v>854</v>
      </c>
      <c r="D30" s="74" t="s">
        <v>115</v>
      </c>
      <c r="E30" s="66" t="str">
        <f>HYPERLINK("https://youtu.be/ynCrlmQJNeY","channel 2")</f>
        <v>channel 2</v>
      </c>
    </row>
    <row r="31">
      <c r="B31" s="72" t="s">
        <v>980</v>
      </c>
      <c r="C31" s="73" t="s">
        <v>826</v>
      </c>
      <c r="D31" s="74" t="s">
        <v>1016</v>
      </c>
      <c r="E31" s="13" t="str">
        <f>HYPERLINK("https://youtu.be/9MlkktGPvws","channel 1")</f>
        <v>channel 1</v>
      </c>
    </row>
    <row r="32">
      <c r="B32" s="72" t="s">
        <v>1443</v>
      </c>
      <c r="C32" s="73" t="s">
        <v>216</v>
      </c>
      <c r="D32" s="74" t="s">
        <v>115</v>
      </c>
      <c r="E32" s="66" t="str">
        <f>HYPERLINK("https://youtu.be/IusGawdsAl0","channel 2")</f>
        <v>channel 2</v>
      </c>
    </row>
    <row r="33">
      <c r="B33" s="72" t="s">
        <v>980</v>
      </c>
      <c r="C33" s="73" t="s">
        <v>103</v>
      </c>
      <c r="D33" s="74" t="s">
        <v>1442</v>
      </c>
      <c r="E33" s="13" t="str">
        <f>HYPERLINK("https://youtu.be/QJGTbzasEhk","channel 1")</f>
        <v>channel 1</v>
      </c>
    </row>
    <row r="34">
      <c r="B34" s="72" t="s">
        <v>1443</v>
      </c>
      <c r="C34" s="73" t="s">
        <v>10</v>
      </c>
      <c r="D34" s="74" t="s">
        <v>1016</v>
      </c>
      <c r="E34" s="66" t="str">
        <f>HYPERLINK("https://youtu.be/bSc946mDBQo","channel 2")</f>
        <v>channel 2</v>
      </c>
    </row>
    <row r="35">
      <c r="B35" s="72" t="s">
        <v>1016</v>
      </c>
      <c r="C35" s="73" t="s">
        <v>160</v>
      </c>
      <c r="D35" s="74" t="s">
        <v>115</v>
      </c>
      <c r="E35" s="13" t="str">
        <f>HYPERLINK("https://youtu.be/2duoOL_3yuA","channel 1")</f>
        <v>channel 1</v>
      </c>
    </row>
    <row r="36">
      <c r="B36" s="72" t="s">
        <v>1443</v>
      </c>
      <c r="C36" s="73" t="s">
        <v>160</v>
      </c>
      <c r="D36" s="74" t="s">
        <v>1442</v>
      </c>
      <c r="E36" s="66" t="str">
        <f>HYPERLINK("https://youtu.be/lfElUFjfFSU","channel 2")</f>
        <v>channel 2</v>
      </c>
    </row>
    <row r="37">
      <c r="B37" s="72" t="s">
        <v>115</v>
      </c>
      <c r="C37" s="73" t="s">
        <v>347</v>
      </c>
      <c r="D37" s="74" t="s">
        <v>980</v>
      </c>
      <c r="E37" s="13" t="str">
        <f>HYPERLINK("https://youtu.be/mzuh3uNThw0","channel 1")</f>
        <v>channel 1</v>
      </c>
    </row>
    <row r="38">
      <c r="B38" s="72" t="s">
        <v>1016</v>
      </c>
      <c r="C38" s="73" t="s">
        <v>47</v>
      </c>
      <c r="D38" s="74" t="s">
        <v>1442</v>
      </c>
      <c r="E38" s="66" t="str">
        <f>HYPERLINK("https://youtu.be/eFqHUlLZ2dQ","channel 2")</f>
        <v>channel 2</v>
      </c>
    </row>
    <row r="39">
      <c r="B39" s="72" t="s">
        <v>1443</v>
      </c>
      <c r="C39" s="73" t="s">
        <v>141</v>
      </c>
      <c r="D39" s="74" t="s">
        <v>980</v>
      </c>
      <c r="E39" s="13" t="str">
        <f>HYPERLINK("https://youtu.be/wuDbdT1FEQE","channel 1")</f>
        <v>channel 1</v>
      </c>
    </row>
    <row r="40">
      <c r="B40" s="72" t="s">
        <v>115</v>
      </c>
      <c r="C40" s="73" t="s">
        <v>337</v>
      </c>
      <c r="D40" s="74" t="s">
        <v>1442</v>
      </c>
      <c r="E40" s="66" t="str">
        <f>HYPERLINK("https://youtu.be/cGl-fEiq2w0","channel 2")</f>
        <v>channel 2</v>
      </c>
    </row>
    <row r="41">
      <c r="B41" s="72" t="s">
        <v>1016</v>
      </c>
      <c r="C41" s="73" t="s">
        <v>1444</v>
      </c>
      <c r="D41" s="74" t="s">
        <v>980</v>
      </c>
      <c r="E41" s="13" t="str">
        <f>HYPERLINK("https://youtu.be/xdCeYZxhZCs","channel 1")</f>
        <v>channel 1</v>
      </c>
    </row>
    <row r="42">
      <c r="B42" s="72" t="s">
        <v>115</v>
      </c>
      <c r="C42" s="73" t="s">
        <v>49</v>
      </c>
      <c r="D42" s="74" t="s">
        <v>1443</v>
      </c>
      <c r="E42" s="66" t="str">
        <f>HYPERLINK("https://youtu.be/AeUcXM9tHbo","channel 2")</f>
        <v>channel 2</v>
      </c>
    </row>
    <row r="43">
      <c r="B43" s="72" t="s">
        <v>1442</v>
      </c>
      <c r="C43" s="73" t="s">
        <v>59</v>
      </c>
      <c r="D43" s="74" t="s">
        <v>980</v>
      </c>
      <c r="E43" s="13" t="str">
        <f>HYPERLINK("https://youtu.be/7vWBgaraw2M","channel 1")</f>
        <v>channel 1</v>
      </c>
    </row>
    <row r="44">
      <c r="B44" s="72" t="s">
        <v>1016</v>
      </c>
      <c r="C44" s="73" t="s">
        <v>362</v>
      </c>
      <c r="D44" s="74" t="s">
        <v>1443</v>
      </c>
      <c r="E44" s="66" t="str">
        <f>HYPERLINK("https://youtu.be/Oe-K2yVUdPs","channel 2")</f>
        <v>channel 2</v>
      </c>
    </row>
    <row r="45">
      <c r="B45" s="77" t="s">
        <v>971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1445</v>
      </c>
      <c r="C47" s="73" t="s">
        <v>34</v>
      </c>
      <c r="D47" s="74" t="s">
        <v>1446</v>
      </c>
      <c r="E47" s="13" t="str">
        <f>HYPERLINK("https://youtu.be/VkAYMTKh5gU","channel 1")</f>
        <v>channel 1</v>
      </c>
    </row>
    <row r="48">
      <c r="B48" s="72" t="s">
        <v>1447</v>
      </c>
      <c r="C48" s="73" t="s">
        <v>97</v>
      </c>
      <c r="D48" s="74" t="s">
        <v>1448</v>
      </c>
      <c r="E48" s="66" t="str">
        <f>HYPERLINK("https://youtu.be/Q3i82Rn6sCc","channel 2")</f>
        <v>channel 2</v>
      </c>
    </row>
    <row r="49">
      <c r="B49" s="72" t="s">
        <v>1449</v>
      </c>
      <c r="C49" s="73" t="s">
        <v>46</v>
      </c>
      <c r="D49" s="74" t="s">
        <v>1445</v>
      </c>
      <c r="E49" s="13" t="str">
        <f>HYPERLINK("https://youtu.be/yuBPyRQhCRw","channel 1")</f>
        <v>channel 1</v>
      </c>
    </row>
    <row r="50">
      <c r="B50" s="72" t="s">
        <v>1447</v>
      </c>
      <c r="C50" s="73" t="s">
        <v>55</v>
      </c>
      <c r="D50" s="74" t="s">
        <v>1446</v>
      </c>
      <c r="E50" s="66" t="str">
        <f>HYPERLINK("https://youtu.be/cn1WbWzfWaQ","channel 2")</f>
        <v>channel 2</v>
      </c>
    </row>
    <row r="51">
      <c r="B51" s="72" t="s">
        <v>1449</v>
      </c>
      <c r="C51" s="73" t="s">
        <v>37</v>
      </c>
      <c r="D51" s="74" t="s">
        <v>1448</v>
      </c>
      <c r="E51" s="13" t="str">
        <f>HYPERLINK("https://youtu.be/8zKVc2Abqos","channel 1")</f>
        <v>channel 1</v>
      </c>
    </row>
    <row r="52">
      <c r="B52" s="72" t="s">
        <v>1447</v>
      </c>
      <c r="C52" s="73" t="s">
        <v>148</v>
      </c>
      <c r="D52" s="74" t="s">
        <v>1445</v>
      </c>
      <c r="E52" s="66" t="str">
        <f>HYPERLINK("https://youtu.be/hTyMv70bPGk","channel 2")</f>
        <v>channel 2</v>
      </c>
    </row>
    <row r="53">
      <c r="B53" s="72" t="s">
        <v>1449</v>
      </c>
      <c r="C53" s="73" t="s">
        <v>46</v>
      </c>
      <c r="D53" s="74" t="s">
        <v>1446</v>
      </c>
      <c r="E53" s="13" t="str">
        <f>HYPERLINK("https://youtu.be/aHtT5Fgy9JM","channel 1")</f>
        <v>channel 1</v>
      </c>
    </row>
    <row r="54">
      <c r="B54" s="72" t="s">
        <v>1448</v>
      </c>
      <c r="C54" s="73" t="s">
        <v>104</v>
      </c>
      <c r="D54" s="74" t="s">
        <v>1445</v>
      </c>
      <c r="E54" s="66" t="str">
        <f>HYPERLINK("https://youtu.be/qoTmDZqVGas","channel 2")</f>
        <v>channel 2</v>
      </c>
    </row>
    <row r="55">
      <c r="B55" s="72" t="s">
        <v>1449</v>
      </c>
      <c r="C55" s="73" t="s">
        <v>103</v>
      </c>
      <c r="D55" s="74" t="s">
        <v>1447</v>
      </c>
      <c r="E55" s="13" t="str">
        <f>HYPERLINK("https://youtu.be/ZeWV0ZjNR9g","channel 1")</f>
        <v>channel 1</v>
      </c>
    </row>
    <row r="56">
      <c r="B56" s="72" t="s">
        <v>1448</v>
      </c>
      <c r="C56" s="73" t="s">
        <v>37</v>
      </c>
      <c r="D56" s="74" t="s">
        <v>1446</v>
      </c>
      <c r="E56" s="66" t="str">
        <f>HYPERLINK("https://youtu.be/W0baKv5UD9o","channel 2")</f>
        <v>channel 2</v>
      </c>
    </row>
    <row r="57">
      <c r="B57" s="72" t="s">
        <v>1446</v>
      </c>
      <c r="C57" s="73" t="s">
        <v>49</v>
      </c>
      <c r="D57" s="74" t="s">
        <v>1445</v>
      </c>
      <c r="E57" s="13" t="str">
        <f>HYPERLINK("https://youtu.be/Un4NcGW3fR8","channel 1")</f>
        <v>channel 1</v>
      </c>
    </row>
    <row r="58">
      <c r="B58" s="72" t="s">
        <v>1448</v>
      </c>
      <c r="C58" s="73" t="s">
        <v>246</v>
      </c>
      <c r="D58" s="74" t="s">
        <v>1447</v>
      </c>
      <c r="E58" s="66" t="str">
        <f>HYPERLINK("https://youtu.be/Q601URvQbe8","channel 2")</f>
        <v>channel 2</v>
      </c>
    </row>
    <row r="59">
      <c r="B59" s="72" t="s">
        <v>1445</v>
      </c>
      <c r="C59" s="73" t="s">
        <v>47</v>
      </c>
      <c r="D59" s="74" t="s">
        <v>1449</v>
      </c>
      <c r="E59" s="13" t="str">
        <f>HYPERLINK("https://youtu.be/ItfxmN91gSU","channel 1")</f>
        <v>channel 1</v>
      </c>
    </row>
    <row r="60">
      <c r="B60" s="72" t="s">
        <v>1446</v>
      </c>
      <c r="C60" s="73" t="s">
        <v>132</v>
      </c>
      <c r="D60" s="74" t="s">
        <v>1447</v>
      </c>
      <c r="E60" s="66" t="str">
        <f>HYPERLINK("https://youtu.be/VET_gj0Ukk0","channel 2")</f>
        <v>channel 2</v>
      </c>
    </row>
    <row r="61">
      <c r="B61" s="72" t="s">
        <v>1448</v>
      </c>
      <c r="C61" s="73" t="s">
        <v>37</v>
      </c>
      <c r="D61" s="74" t="s">
        <v>1449</v>
      </c>
      <c r="E61" s="13" t="str">
        <f>HYPERLINK("https://youtu.be/O9pMhRtFBCQ","channel 1")</f>
        <v>channel 1</v>
      </c>
    </row>
    <row r="62">
      <c r="B62" s="72" t="s">
        <v>1445</v>
      </c>
      <c r="C62" s="73" t="s">
        <v>32</v>
      </c>
      <c r="D62" s="74" t="s">
        <v>1447</v>
      </c>
      <c r="E62" s="66" t="str">
        <f>HYPERLINK("https://youtu.be/lWdOvxwvQqU","channel 2")</f>
        <v>channel 2</v>
      </c>
    </row>
    <row r="63">
      <c r="B63" s="72" t="s">
        <v>1446</v>
      </c>
      <c r="C63" s="73" t="s">
        <v>46</v>
      </c>
      <c r="D63" s="74" t="s">
        <v>1449</v>
      </c>
      <c r="E63" s="13" t="str">
        <f>HYPERLINK("https://youtu.be/hy9EQKZY1GQ","channel 1")</f>
        <v>channel 1</v>
      </c>
    </row>
    <row r="64">
      <c r="B64" s="72" t="s">
        <v>1445</v>
      </c>
      <c r="C64" s="73" t="s">
        <v>188</v>
      </c>
      <c r="D64" s="74" t="s">
        <v>1448</v>
      </c>
      <c r="E64" s="66" t="str">
        <f>HYPERLINK("https://youtu.be/8lbHod_BR0w","channel 2")</f>
        <v>channel 2</v>
      </c>
    </row>
    <row r="65">
      <c r="B65" s="72" t="s">
        <v>1447</v>
      </c>
      <c r="C65" s="73" t="s">
        <v>37</v>
      </c>
      <c r="D65" s="74" t="s">
        <v>1449</v>
      </c>
      <c r="E65" s="13" t="str">
        <f>HYPERLINK("https://youtu.be/xpqNwfaMeDE","channel 1")</f>
        <v>channel 1</v>
      </c>
    </row>
    <row r="66">
      <c r="B66" s="72" t="s">
        <v>1446</v>
      </c>
      <c r="C66" s="73" t="s">
        <v>180</v>
      </c>
      <c r="D66" s="74" t="s">
        <v>1448</v>
      </c>
      <c r="E66" s="66" t="str">
        <f>HYPERLINK("https://youtu.be/drF75WP0_VQ","channel 2")</f>
        <v>channel 2</v>
      </c>
    </row>
    <row r="67">
      <c r="B67" s="77" t="s">
        <v>240</v>
      </c>
      <c r="C67" s="59"/>
      <c r="D67" s="59"/>
      <c r="E67" s="6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1450</v>
      </c>
      <c r="C69" s="73" t="s">
        <v>338</v>
      </c>
      <c r="D69" s="74" t="s">
        <v>1149</v>
      </c>
      <c r="E69" s="13" t="str">
        <f>HYPERLINK("https://youtu.be/ThsWDkFmTpE","channel 1")</f>
        <v>channel 1</v>
      </c>
    </row>
    <row r="70">
      <c r="B70" s="72" t="s">
        <v>1375</v>
      </c>
      <c r="C70" s="73" t="s">
        <v>97</v>
      </c>
      <c r="D70" s="74" t="s">
        <v>1147</v>
      </c>
      <c r="E70" s="66" t="str">
        <f>HYPERLINK("https://youtu.be/LM8dOioFffU","channel 2")</f>
        <v>channel 2</v>
      </c>
    </row>
    <row r="71">
      <c r="B71" s="72" t="s">
        <v>941</v>
      </c>
      <c r="C71" s="73" t="s">
        <v>10</v>
      </c>
      <c r="D71" s="74" t="s">
        <v>1450</v>
      </c>
      <c r="E71" s="13" t="str">
        <f>HYPERLINK("https://youtu.be/d2onIEdZyjk","channel 1")</f>
        <v>channel 1</v>
      </c>
    </row>
    <row r="72">
      <c r="B72" s="72" t="s">
        <v>1375</v>
      </c>
      <c r="C72" s="73" t="s">
        <v>280</v>
      </c>
      <c r="D72" s="74" t="s">
        <v>1149</v>
      </c>
      <c r="E72" s="66" t="str">
        <f>HYPERLINK("https://youtu.be/jqQDhOax9Tw\","channel 2")</f>
        <v>channel 2</v>
      </c>
    </row>
    <row r="73">
      <c r="B73" s="72" t="s">
        <v>941</v>
      </c>
      <c r="C73" s="73" t="s">
        <v>106</v>
      </c>
      <c r="D73" s="74" t="s">
        <v>1147</v>
      </c>
      <c r="E73" s="13" t="str">
        <f>HYPERLINK("https://youtu.be/d2onIEdZyjk","channel 1")</f>
        <v>channel 1</v>
      </c>
    </row>
    <row r="74">
      <c r="B74" s="72" t="s">
        <v>1375</v>
      </c>
      <c r="C74" s="73" t="s">
        <v>373</v>
      </c>
      <c r="D74" s="74" t="s">
        <v>1450</v>
      </c>
      <c r="E74" s="66" t="str">
        <f>HYPERLINK("https://youtu.be/IoK1k2_r2NQ","channel 2")</f>
        <v>channel 2</v>
      </c>
    </row>
    <row r="75">
      <c r="B75" s="72" t="s">
        <v>941</v>
      </c>
      <c r="C75" s="73" t="s">
        <v>93</v>
      </c>
      <c r="D75" s="74" t="s">
        <v>1149</v>
      </c>
      <c r="E75" s="13" t="str">
        <f>HYPERLINK("https://youtu.be/3lSUJIm1F50","channel 1")</f>
        <v>channel 1</v>
      </c>
    </row>
    <row r="76">
      <c r="B76" s="72" t="s">
        <v>1147</v>
      </c>
      <c r="C76" s="73" t="s">
        <v>223</v>
      </c>
      <c r="D76" s="74" t="s">
        <v>1450</v>
      </c>
      <c r="E76" s="66" t="str">
        <f>HYPERLINK("https://youtu.be/-BHa_FEzgIQ","channel 2")</f>
        <v>channel 2</v>
      </c>
    </row>
    <row r="77">
      <c r="B77" s="72" t="s">
        <v>941</v>
      </c>
      <c r="C77" s="73" t="s">
        <v>88</v>
      </c>
      <c r="D77" s="74" t="s">
        <v>1375</v>
      </c>
      <c r="E77" s="13" t="str">
        <f>HYPERLINK("https://youtu.be/vayPC0Ihoxc","channel 1")</f>
        <v>channel 1</v>
      </c>
    </row>
    <row r="78">
      <c r="B78" s="72" t="s">
        <v>1147</v>
      </c>
      <c r="C78" s="73" t="s">
        <v>99</v>
      </c>
      <c r="D78" s="74" t="s">
        <v>1149</v>
      </c>
      <c r="E78" s="66" t="str">
        <f>HYPERLINK("https://youtu.be/tkK0w8i-1X8","channel 2")</f>
        <v>channel 2</v>
      </c>
    </row>
    <row r="79">
      <c r="B79" s="72" t="s">
        <v>1149</v>
      </c>
      <c r="C79" s="73" t="s">
        <v>148</v>
      </c>
      <c r="D79" s="74" t="s">
        <v>1450</v>
      </c>
      <c r="E79" s="13" t="str">
        <f>HYPERLINK("https://youtu.be/NTIm6cxvNpc","channel 1")</f>
        <v>channel 1</v>
      </c>
    </row>
    <row r="80">
      <c r="B80" s="72" t="s">
        <v>1147</v>
      </c>
      <c r="C80" s="73" t="s">
        <v>74</v>
      </c>
      <c r="D80" s="74" t="s">
        <v>1375</v>
      </c>
      <c r="E80" s="66" t="str">
        <f>HYPERLINK("https://youtu.be/KAd3xCHvgBM","channel 2")</f>
        <v>channel 2</v>
      </c>
    </row>
    <row r="81">
      <c r="B81" s="72" t="s">
        <v>1450</v>
      </c>
      <c r="C81" s="73" t="s">
        <v>365</v>
      </c>
      <c r="D81" s="74" t="s">
        <v>941</v>
      </c>
      <c r="E81" s="13" t="str">
        <f>HYPERLINK("https://youtu.be/XqjCJ2dUZwU","channel 1")</f>
        <v>channel 1</v>
      </c>
    </row>
    <row r="82">
      <c r="B82" s="72" t="s">
        <v>1149</v>
      </c>
      <c r="C82" s="73" t="s">
        <v>281</v>
      </c>
      <c r="D82" s="74" t="s">
        <v>1375</v>
      </c>
      <c r="E82" s="66" t="str">
        <f>HYPERLINK("https://youtu.be/dW6H6-_jTBI","channel 2")</f>
        <v>channel 2</v>
      </c>
    </row>
    <row r="83">
      <c r="B83" s="72" t="s">
        <v>1147</v>
      </c>
      <c r="C83" s="73" t="s">
        <v>109</v>
      </c>
      <c r="D83" s="74" t="s">
        <v>941</v>
      </c>
      <c r="E83" s="13" t="str">
        <f>HYPERLINK("https://youtu.be/yU36NwaDeQM","channel 1")</f>
        <v>channel 1</v>
      </c>
    </row>
    <row r="84">
      <c r="B84" s="72" t="s">
        <v>1450</v>
      </c>
      <c r="C84" s="73" t="s">
        <v>24</v>
      </c>
      <c r="D84" s="74" t="s">
        <v>1375</v>
      </c>
      <c r="E84" s="66" t="str">
        <f>HYPERLINK("https://youtu.be/qYs8GNJQw4A","channel 2")</f>
        <v>channel 2</v>
      </c>
    </row>
    <row r="85">
      <c r="B85" s="72" t="s">
        <v>1149</v>
      </c>
      <c r="C85" s="73" t="s">
        <v>384</v>
      </c>
      <c r="D85" s="74" t="s">
        <v>941</v>
      </c>
      <c r="E85" s="13" t="str">
        <f>HYPERLINK("https://youtu.be/nUpoqPc71q4","channel 1")</f>
        <v>channel 1</v>
      </c>
    </row>
    <row r="86">
      <c r="B86" s="72" t="s">
        <v>1450</v>
      </c>
      <c r="C86" s="73" t="s">
        <v>124</v>
      </c>
      <c r="D86" s="74" t="s">
        <v>1147</v>
      </c>
      <c r="E86" s="66" t="str">
        <f>HYPERLINK("https://youtu.be/bDh6lyVz68k","channel 2")</f>
        <v>channel 2</v>
      </c>
    </row>
    <row r="87">
      <c r="B87" s="72" t="s">
        <v>1375</v>
      </c>
      <c r="C87" s="73" t="s">
        <v>82</v>
      </c>
      <c r="D87" s="74" t="s">
        <v>941</v>
      </c>
      <c r="E87" s="13" t="str">
        <f>HYPERLINK("https://youtu.be/YxKQeFUeOfw","channel 1")</f>
        <v>channel 1</v>
      </c>
    </row>
    <row r="88">
      <c r="B88" s="72" t="s">
        <v>1149</v>
      </c>
      <c r="C88" s="73" t="s">
        <v>347</v>
      </c>
      <c r="D88" s="74" t="s">
        <v>1147</v>
      </c>
      <c r="E88" s="66" t="str">
        <f>HYPERLINK("https://youtu.be/DRJbteNcN98","channel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1116</v>
      </c>
      <c r="C3" s="73" t="s">
        <v>34</v>
      </c>
      <c r="D3" s="74" t="s">
        <v>336</v>
      </c>
      <c r="E3" s="13" t="str">
        <f>HYPERLINK("https://youtu.be/i1QYqISS1Y0","channel 1")</f>
        <v>channel 1</v>
      </c>
    </row>
    <row r="4">
      <c r="B4" s="72" t="s">
        <v>334</v>
      </c>
      <c r="C4" s="73" t="s">
        <v>156</v>
      </c>
      <c r="D4" s="74" t="s">
        <v>96</v>
      </c>
      <c r="E4" s="66" t="str">
        <f>HYPERLINK("https://youtu.be/3A47BmbQRVU","channel 2")</f>
        <v>channel 2</v>
      </c>
    </row>
    <row r="5">
      <c r="B5" s="72" t="s">
        <v>1302</v>
      </c>
      <c r="C5" s="73" t="s">
        <v>1019</v>
      </c>
      <c r="D5" s="74" t="s">
        <v>1116</v>
      </c>
      <c r="E5" s="13" t="str">
        <f>HYPERLINK("https://youtu.be/Px5QgYh0txY","channel 1")</f>
        <v>channel 1</v>
      </c>
    </row>
    <row r="6">
      <c r="B6" s="72" t="s">
        <v>334</v>
      </c>
      <c r="C6" s="73" t="s">
        <v>225</v>
      </c>
      <c r="D6" s="74" t="s">
        <v>336</v>
      </c>
      <c r="E6" s="66" t="str">
        <f>HYPERLINK("https://youtu.be/1R8_C1eAyxA","channel 2")</f>
        <v>channel 2</v>
      </c>
    </row>
    <row r="7">
      <c r="B7" s="72" t="s">
        <v>1302</v>
      </c>
      <c r="C7" s="73" t="s">
        <v>522</v>
      </c>
      <c r="D7" s="74" t="s">
        <v>96</v>
      </c>
      <c r="E7" s="13" t="str">
        <f>HYPERLINK("https://youtu.be/Ne97YxFZjNg","channel 1")</f>
        <v>channel 1</v>
      </c>
    </row>
    <row r="8">
      <c r="B8" s="72" t="s">
        <v>334</v>
      </c>
      <c r="C8" s="73" t="s">
        <v>216</v>
      </c>
      <c r="D8" s="74" t="s">
        <v>1116</v>
      </c>
      <c r="E8" s="66" t="str">
        <f>HYPERLINK("https://youtu.be/wDXvAIuTURw","channel 2")</f>
        <v>channel 2</v>
      </c>
    </row>
    <row r="9">
      <c r="B9" s="72" t="s">
        <v>1302</v>
      </c>
      <c r="C9" s="73" t="s">
        <v>77</v>
      </c>
      <c r="D9" s="74" t="s">
        <v>336</v>
      </c>
      <c r="E9" s="13" t="str">
        <f>HYPERLINK("https://youtu.be/3KHDCZjWlmA","channel 1")</f>
        <v>channel 1</v>
      </c>
    </row>
    <row r="10">
      <c r="B10" s="72" t="s">
        <v>96</v>
      </c>
      <c r="C10" s="73" t="s">
        <v>18</v>
      </c>
      <c r="D10" s="74" t="s">
        <v>1116</v>
      </c>
      <c r="E10" s="66" t="str">
        <f>HYPERLINK("https://youtu.be/LSn7Nl1rkbk","channel 2")</f>
        <v>channel 2</v>
      </c>
    </row>
    <row r="11">
      <c r="B11" s="72" t="s">
        <v>1302</v>
      </c>
      <c r="C11" s="73" t="s">
        <v>59</v>
      </c>
      <c r="D11" s="74" t="s">
        <v>334</v>
      </c>
      <c r="E11" s="13" t="str">
        <f>HYPERLINK("https://youtu.be/dk50jBH3SPI","channel 1")</f>
        <v>channel 1</v>
      </c>
    </row>
    <row r="12">
      <c r="B12" s="72" t="s">
        <v>96</v>
      </c>
      <c r="C12" s="73" t="s">
        <v>30</v>
      </c>
      <c r="D12" s="74" t="s">
        <v>336</v>
      </c>
      <c r="E12" s="66" t="str">
        <f>HYPERLINK("https://youtu.be/sSDKMbu0MLY","channel 2")</f>
        <v>channel 2</v>
      </c>
    </row>
    <row r="13">
      <c r="B13" s="72" t="s">
        <v>336</v>
      </c>
      <c r="C13" s="73" t="s">
        <v>943</v>
      </c>
      <c r="D13" s="74" t="s">
        <v>1116</v>
      </c>
      <c r="E13" s="13" t="str">
        <f>HYPERLINK("https://youtu.be/l278VcrVJho","channel 1")</f>
        <v>channel 1</v>
      </c>
    </row>
    <row r="14">
      <c r="B14" s="72" t="s">
        <v>96</v>
      </c>
      <c r="C14" s="73" t="s">
        <v>106</v>
      </c>
      <c r="D14" s="74" t="s">
        <v>334</v>
      </c>
      <c r="E14" s="66" t="str">
        <f>HYPERLINK("https://youtu.be/RnDQXD8oVvs","channel 2")</f>
        <v>channel 2</v>
      </c>
    </row>
    <row r="15">
      <c r="B15" s="72" t="s">
        <v>1116</v>
      </c>
      <c r="C15" s="73" t="s">
        <v>108</v>
      </c>
      <c r="D15" s="74" t="s">
        <v>1302</v>
      </c>
      <c r="E15" s="13" t="str">
        <f>HYPERLINK("https://youtu.be/y3IDA41skw0","channel 1")</f>
        <v>channel 1</v>
      </c>
    </row>
    <row r="16">
      <c r="B16" s="72" t="s">
        <v>336</v>
      </c>
      <c r="C16" s="73" t="s">
        <v>47</v>
      </c>
      <c r="D16" s="74" t="s">
        <v>334</v>
      </c>
      <c r="E16" s="66" t="str">
        <f>HYPERLINK("https://youtu.be/svzU8o0Uwfo","channel 2")</f>
        <v>channel 2</v>
      </c>
    </row>
    <row r="17">
      <c r="B17" s="72" t="s">
        <v>96</v>
      </c>
      <c r="C17" s="73" t="s">
        <v>310</v>
      </c>
      <c r="D17" s="74" t="s">
        <v>1302</v>
      </c>
      <c r="E17" s="13" t="str">
        <f>HYPERLINK("https://youtu.be/tW_JDDPkX5M","channel 1")</f>
        <v>channel 1</v>
      </c>
    </row>
    <row r="18">
      <c r="B18" s="72" t="s">
        <v>1116</v>
      </c>
      <c r="C18" s="73" t="s">
        <v>232</v>
      </c>
      <c r="D18" s="74" t="s">
        <v>334</v>
      </c>
      <c r="E18" s="66" t="str">
        <f>HYPERLINK("https://youtu.be/K1mmvFki5h4","channel 2")</f>
        <v>channel 2</v>
      </c>
    </row>
    <row r="19">
      <c r="B19" s="72" t="s">
        <v>336</v>
      </c>
      <c r="C19" s="73" t="s">
        <v>226</v>
      </c>
      <c r="D19" s="74" t="s">
        <v>1302</v>
      </c>
      <c r="E19" s="13" t="str">
        <f>HYPERLINK("https://youtu.be/EZJog7dEnoY","channel 1")</f>
        <v>channel 1</v>
      </c>
    </row>
    <row r="20">
      <c r="B20" s="72" t="s">
        <v>1116</v>
      </c>
      <c r="C20" s="73" t="s">
        <v>61</v>
      </c>
      <c r="D20" s="74" t="s">
        <v>96</v>
      </c>
      <c r="E20" s="66" t="str">
        <f>HYPERLINK("https://youtu.be/-8fnByEulNg","channel 2")</f>
        <v>channel 2</v>
      </c>
    </row>
    <row r="21">
      <c r="B21" s="72" t="s">
        <v>334</v>
      </c>
      <c r="C21" s="73" t="s">
        <v>10</v>
      </c>
      <c r="D21" s="74" t="s">
        <v>1302</v>
      </c>
      <c r="E21" s="13" t="str">
        <f>HYPERLINK("https://youtu.be/7asw3qI50sM","channel 1")</f>
        <v>channel 1</v>
      </c>
    </row>
    <row r="22">
      <c r="B22" s="72" t="s">
        <v>336</v>
      </c>
      <c r="C22" s="73" t="s">
        <v>24</v>
      </c>
      <c r="D22" s="74" t="s">
        <v>96</v>
      </c>
      <c r="E22" s="66" t="str">
        <f>HYPERLINK("https://youtu.be/m1KIXys248s","channel 2")</f>
        <v>channel 2</v>
      </c>
    </row>
    <row r="23">
      <c r="B23" s="58" t="s">
        <v>64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1451</v>
      </c>
      <c r="C25" s="73" t="s">
        <v>133</v>
      </c>
      <c r="D25" s="74" t="s">
        <v>542</v>
      </c>
      <c r="E25" s="13" t="str">
        <f>HYPERLINK("https://youtu.be/pmmZL8-fk1Y","channel 1")</f>
        <v>channel 1</v>
      </c>
    </row>
    <row r="26">
      <c r="B26" s="72" t="s">
        <v>1452</v>
      </c>
      <c r="C26" s="73" t="s">
        <v>99</v>
      </c>
      <c r="D26" s="74" t="s">
        <v>836</v>
      </c>
      <c r="E26" s="66" t="str">
        <f>HYPERLINK("https://youtu.be/wXIUlCurkkI","channel 2")</f>
        <v>channel 2</v>
      </c>
    </row>
    <row r="27">
      <c r="B27" s="72" t="s">
        <v>540</v>
      </c>
      <c r="C27" s="73" t="s">
        <v>1453</v>
      </c>
      <c r="D27" s="74" t="s">
        <v>1451</v>
      </c>
      <c r="E27" s="13" t="str">
        <f>HYPERLINK("https://youtu.be/KislVtNm0qw","channel 1")</f>
        <v>channel 1</v>
      </c>
    </row>
    <row r="28">
      <c r="B28" s="72" t="s">
        <v>1452</v>
      </c>
      <c r="C28" s="73" t="s">
        <v>10</v>
      </c>
      <c r="D28" s="74" t="s">
        <v>542</v>
      </c>
      <c r="E28" s="66" t="str">
        <f>HYPERLINK("https://youtu.be/ps4ZMv584-E","channel 2")</f>
        <v>channel 2</v>
      </c>
    </row>
    <row r="29">
      <c r="B29" s="72" t="s">
        <v>540</v>
      </c>
      <c r="C29" s="73" t="s">
        <v>577</v>
      </c>
      <c r="D29" s="74" t="s">
        <v>836</v>
      </c>
      <c r="E29" s="13" t="str">
        <f>HYPERLINK("https://youtu.be/1L6F0VJqGXU","channel 1")</f>
        <v>channel 1</v>
      </c>
    </row>
    <row r="30">
      <c r="B30" s="72" t="s">
        <v>1452</v>
      </c>
      <c r="C30" s="73" t="s">
        <v>103</v>
      </c>
      <c r="D30" s="74" t="s">
        <v>1451</v>
      </c>
      <c r="E30" s="66" t="str">
        <f>HYPERLINK("https://youtu.be/Hp4vAwJB2Yk","channel 2")</f>
        <v>channel 2</v>
      </c>
    </row>
    <row r="31">
      <c r="B31" s="72" t="s">
        <v>540</v>
      </c>
      <c r="C31" s="73" t="s">
        <v>56</v>
      </c>
      <c r="D31" s="74" t="s">
        <v>542</v>
      </c>
      <c r="E31" s="13" t="str">
        <f>HYPERLINK("https://youtu.be/ltIPYG5SpBU","channel 1")</f>
        <v>channel 1</v>
      </c>
    </row>
    <row r="32">
      <c r="B32" s="72" t="s">
        <v>836</v>
      </c>
      <c r="C32" s="73" t="s">
        <v>538</v>
      </c>
      <c r="D32" s="74" t="s">
        <v>1451</v>
      </c>
      <c r="E32" s="66" t="str">
        <f>HYPERLINK("https://youtu.be/n8zRlVBKHBA","channel 2")</f>
        <v>channel 2</v>
      </c>
    </row>
    <row r="33">
      <c r="B33" s="72" t="s">
        <v>540</v>
      </c>
      <c r="C33" s="73" t="s">
        <v>89</v>
      </c>
      <c r="D33" s="74" t="s">
        <v>1452</v>
      </c>
      <c r="E33" s="13" t="str">
        <f>HYPERLINK("https://youtu.be/re_m4Cp0V2M","channel 1")</f>
        <v>channel 1</v>
      </c>
    </row>
    <row r="34">
      <c r="B34" s="72" t="s">
        <v>836</v>
      </c>
      <c r="C34" s="73" t="s">
        <v>93</v>
      </c>
      <c r="D34" s="74" t="s">
        <v>542</v>
      </c>
      <c r="E34" s="66" t="str">
        <f>HYPERLINK("https://youtu.be/HTIG2erDR0s","channel 2")</f>
        <v>channel 2</v>
      </c>
    </row>
    <row r="35">
      <c r="B35" s="72" t="s">
        <v>542</v>
      </c>
      <c r="C35" s="73" t="s">
        <v>27</v>
      </c>
      <c r="D35" s="74" t="s">
        <v>1451</v>
      </c>
      <c r="E35" s="13" t="str">
        <f>HYPERLINK("https://youtu.be/q_Vhad44Yr8","channel 1")</f>
        <v>channel 1</v>
      </c>
    </row>
    <row r="36">
      <c r="B36" s="72" t="s">
        <v>836</v>
      </c>
      <c r="C36" s="73" t="s">
        <v>55</v>
      </c>
      <c r="D36" s="74" t="s">
        <v>1452</v>
      </c>
      <c r="E36" s="66" t="str">
        <f>HYPERLINK("https://youtu.be/mKf64iwCS_A","channel 2")</f>
        <v>channel 2</v>
      </c>
    </row>
    <row r="37">
      <c r="B37" s="72" t="s">
        <v>1451</v>
      </c>
      <c r="C37" s="73" t="s">
        <v>623</v>
      </c>
      <c r="D37" s="74" t="s">
        <v>540</v>
      </c>
      <c r="E37" s="13" t="str">
        <f>HYPERLINK("https://youtu.be/aK6zy_YILas","channel 1")</f>
        <v>channel 1</v>
      </c>
    </row>
    <row r="38">
      <c r="B38" s="72" t="s">
        <v>542</v>
      </c>
      <c r="C38" s="73" t="s">
        <v>37</v>
      </c>
      <c r="D38" s="74" t="s">
        <v>1452</v>
      </c>
      <c r="E38" s="66" t="str">
        <f>HYPERLINK("https://youtu.be/cOvsxtacBhA","channel 2")</f>
        <v>channel 2</v>
      </c>
    </row>
    <row r="39">
      <c r="B39" s="72" t="s">
        <v>836</v>
      </c>
      <c r="C39" s="73" t="s">
        <v>1090</v>
      </c>
      <c r="D39" s="74" t="s">
        <v>540</v>
      </c>
      <c r="E39" s="13" t="str">
        <f>HYPERLINK("https://youtu.be/jFp0iOxHRCY","channel 1")</f>
        <v>channel 1</v>
      </c>
    </row>
    <row r="40">
      <c r="B40" s="72" t="s">
        <v>1451</v>
      </c>
      <c r="C40" s="73" t="s">
        <v>117</v>
      </c>
      <c r="D40" s="74" t="s">
        <v>1452</v>
      </c>
      <c r="E40" s="66" t="str">
        <f>HYPERLINK("https://youtu.be/YHp3NbuzceQ","channel 2")</f>
        <v>channel 2</v>
      </c>
    </row>
    <row r="41">
      <c r="B41" s="72" t="s">
        <v>542</v>
      </c>
      <c r="C41" s="73" t="s">
        <v>332</v>
      </c>
      <c r="D41" s="74" t="s">
        <v>540</v>
      </c>
      <c r="E41" s="13" t="str">
        <f>HYPERLINK("https://youtu.be/-uQWHprKTUI","channel 1")</f>
        <v>channel 1</v>
      </c>
    </row>
    <row r="42">
      <c r="B42" s="72" t="s">
        <v>1451</v>
      </c>
      <c r="C42" s="73" t="s">
        <v>278</v>
      </c>
      <c r="D42" s="74" t="s">
        <v>836</v>
      </c>
      <c r="E42" s="66" t="str">
        <f>HYPERLINK("https://youtu.be/OcJ0TmSSnPo","channel 2")</f>
        <v>channel 2</v>
      </c>
    </row>
    <row r="43">
      <c r="B43" s="72" t="s">
        <v>1452</v>
      </c>
      <c r="C43" s="73" t="s">
        <v>212</v>
      </c>
      <c r="D43" s="74" t="s">
        <v>540</v>
      </c>
      <c r="E43" s="13" t="str">
        <f>HYPERLINK("https://youtu.be/-RxAgLHn0L8","channel 1")</f>
        <v>channel 1</v>
      </c>
    </row>
    <row r="44">
      <c r="B44" s="72" t="s">
        <v>542</v>
      </c>
      <c r="C44" s="73" t="s">
        <v>18</v>
      </c>
      <c r="D44" s="74" t="s">
        <v>836</v>
      </c>
      <c r="E44" s="66" t="str">
        <f>HYPERLINK("https://youtu.be/PjnkvtlOJSk","channel 2")</f>
        <v>channel 2</v>
      </c>
    </row>
    <row r="45">
      <c r="B45" s="77" t="s">
        <v>112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1458</v>
      </c>
      <c r="C47" s="73" t="s">
        <v>77</v>
      </c>
      <c r="D47" s="74" t="s">
        <v>1459</v>
      </c>
      <c r="E47" s="13" t="str">
        <f>HYPERLINK("https://youtu.be/r1IVdPLdJZw","channel 1")</f>
        <v>channel 1</v>
      </c>
    </row>
    <row r="48">
      <c r="B48" s="72" t="s">
        <v>1042</v>
      </c>
      <c r="C48" s="73" t="s">
        <v>157</v>
      </c>
      <c r="D48" s="74" t="s">
        <v>705</v>
      </c>
      <c r="E48" s="66" t="str">
        <f>HYPERLINK("https://youtu.be/xxK4k6SAnt0","channel 2")</f>
        <v>channel 2</v>
      </c>
    </row>
    <row r="49">
      <c r="B49" s="72" t="s">
        <v>768</v>
      </c>
      <c r="C49" s="73" t="s">
        <v>49</v>
      </c>
      <c r="D49" s="74" t="s">
        <v>1458</v>
      </c>
      <c r="E49" s="13" t="str">
        <f>HYPERLINK("https://youtu.be/nlA6otfjpZs","channel 1")</f>
        <v>channel 1</v>
      </c>
    </row>
    <row r="50">
      <c r="B50" s="72" t="s">
        <v>1042</v>
      </c>
      <c r="C50" s="73" t="s">
        <v>102</v>
      </c>
      <c r="D50" s="74" t="s">
        <v>1459</v>
      </c>
      <c r="E50" s="66" t="str">
        <f>HYPERLINK("https://youtu.be/2PS-HiK9FEw","channel 2")</f>
        <v>channel 2</v>
      </c>
    </row>
    <row r="51">
      <c r="B51" s="72" t="s">
        <v>768</v>
      </c>
      <c r="C51" s="73" t="s">
        <v>108</v>
      </c>
      <c r="D51" s="74" t="s">
        <v>705</v>
      </c>
      <c r="E51" s="13" t="str">
        <f>HYPERLINK("https://youtu.be/kwaGNfwOPMM","channel 1")</f>
        <v>channel 1</v>
      </c>
    </row>
    <row r="52">
      <c r="B52" s="72" t="s">
        <v>1042</v>
      </c>
      <c r="C52" s="73" t="s">
        <v>1462</v>
      </c>
      <c r="D52" s="74" t="s">
        <v>1458</v>
      </c>
      <c r="E52" s="66" t="str">
        <f>HYPERLINK("https://youtu.be/0TPZCzDWDjU","channel 2")</f>
        <v>channel 2</v>
      </c>
    </row>
    <row r="53">
      <c r="B53" s="72" t="s">
        <v>768</v>
      </c>
      <c r="C53" s="73" t="s">
        <v>104</v>
      </c>
      <c r="D53" s="74" t="s">
        <v>1459</v>
      </c>
      <c r="E53" s="13" t="str">
        <f>HYPERLINK("https://youtu.be/DKlT9mA2Vno","channel 1")</f>
        <v>channel 1</v>
      </c>
    </row>
    <row r="54">
      <c r="B54" s="72" t="s">
        <v>705</v>
      </c>
      <c r="C54" s="73" t="s">
        <v>47</v>
      </c>
      <c r="D54" s="74" t="s">
        <v>1458</v>
      </c>
      <c r="E54" s="66" t="str">
        <f>HYPERLINK("https://youtu.be/vWKHHlhdTqE","channel 2")</f>
        <v>channel 2</v>
      </c>
    </row>
    <row r="55">
      <c r="B55" s="72" t="s">
        <v>768</v>
      </c>
      <c r="C55" s="73" t="s">
        <v>237</v>
      </c>
      <c r="D55" s="74" t="s">
        <v>1042</v>
      </c>
      <c r="E55" s="13" t="str">
        <f>HYPERLINK("https://youtu.be/XgW02PLkn4E","channel 1")</f>
        <v>channel 1</v>
      </c>
    </row>
    <row r="56">
      <c r="B56" s="72" t="s">
        <v>705</v>
      </c>
      <c r="C56" s="73" t="s">
        <v>477</v>
      </c>
      <c r="D56" s="74" t="s">
        <v>1459</v>
      </c>
      <c r="E56" s="66" t="str">
        <f>HYPERLINK("https://youtu.be/Hzzl2FTkCW8","channel 2")</f>
        <v>channel 2</v>
      </c>
    </row>
    <row r="57">
      <c r="B57" s="72" t="s">
        <v>1459</v>
      </c>
      <c r="C57" s="73" t="s">
        <v>144</v>
      </c>
      <c r="D57" s="74" t="s">
        <v>1458</v>
      </c>
      <c r="E57" s="13" t="str">
        <f>HYPERLINK("https://youtu.be/3UgDgDF8prg","channel 1")</f>
        <v>channel 1</v>
      </c>
    </row>
    <row r="58">
      <c r="B58" s="72" t="s">
        <v>705</v>
      </c>
      <c r="C58" s="73" t="s">
        <v>85</v>
      </c>
      <c r="D58" s="74" t="s">
        <v>1042</v>
      </c>
      <c r="E58" s="66" t="str">
        <f>HYPERLINK("https://youtu.be/7UeTBEq7IhU","channel 2")</f>
        <v>channel 2</v>
      </c>
    </row>
    <row r="59">
      <c r="B59" s="72" t="s">
        <v>1458</v>
      </c>
      <c r="C59" s="73" t="s">
        <v>111</v>
      </c>
      <c r="D59" s="74" t="s">
        <v>768</v>
      </c>
      <c r="E59" s="13" t="str">
        <f>HYPERLINK("https://youtu.be/MyXVNvzo6AM","channel 1")</f>
        <v>channel 1</v>
      </c>
    </row>
    <row r="60">
      <c r="B60" s="72" t="s">
        <v>1459</v>
      </c>
      <c r="C60" s="73" t="s">
        <v>84</v>
      </c>
      <c r="D60" s="74" t="s">
        <v>1042</v>
      </c>
      <c r="E60" s="66" t="str">
        <f>HYPERLINK("https://youtu.be/THPiRoBmv8o","channel 2")</f>
        <v>channel 2</v>
      </c>
    </row>
    <row r="61">
      <c r="B61" s="72" t="s">
        <v>705</v>
      </c>
      <c r="C61" s="73" t="s">
        <v>108</v>
      </c>
      <c r="D61" s="74" t="s">
        <v>768</v>
      </c>
      <c r="E61" s="13" t="str">
        <f>HYPERLINK("https://youtu.be/y7HxPbOb9ec","channel 1")</f>
        <v>channel 1</v>
      </c>
    </row>
    <row r="62">
      <c r="B62" s="72" t="s">
        <v>1458</v>
      </c>
      <c r="C62" s="73" t="s">
        <v>237</v>
      </c>
      <c r="D62" s="74" t="s">
        <v>1042</v>
      </c>
      <c r="E62" s="66" t="str">
        <f>HYPERLINK("https://youtu.be/BOXnn4IYlac","channel 2")</f>
        <v>channel 2</v>
      </c>
    </row>
    <row r="63">
      <c r="B63" s="72" t="s">
        <v>1459</v>
      </c>
      <c r="C63" s="73" t="s">
        <v>24</v>
      </c>
      <c r="D63" s="74" t="s">
        <v>768</v>
      </c>
      <c r="E63" s="13" t="str">
        <f>HYPERLINK("https://youtu.be/jR1kHDROm6k","channel 1")</f>
        <v>channel 1</v>
      </c>
    </row>
    <row r="64">
      <c r="B64" s="72" t="s">
        <v>1458</v>
      </c>
      <c r="C64" s="73" t="s">
        <v>47</v>
      </c>
      <c r="D64" s="74" t="s">
        <v>705</v>
      </c>
      <c r="E64" s="66" t="str">
        <f>HYPERLINK("https://youtu.be/xvwk0AezBr8","channel 2")</f>
        <v>channel 2</v>
      </c>
    </row>
    <row r="65">
      <c r="B65" s="72" t="s">
        <v>1042</v>
      </c>
      <c r="C65" s="73" t="s">
        <v>145</v>
      </c>
      <c r="D65" s="74" t="s">
        <v>768</v>
      </c>
      <c r="E65" s="13" t="str">
        <f>HYPERLINK("https://youtu.be/DEQ2oAD_G50","channel 1")</f>
        <v>channel 1</v>
      </c>
    </row>
    <row r="66">
      <c r="B66" s="72" t="s">
        <v>1459</v>
      </c>
      <c r="C66" s="73" t="s">
        <v>74</v>
      </c>
      <c r="D66" s="74" t="s">
        <v>705</v>
      </c>
      <c r="E66" s="66" t="str">
        <f>HYPERLINK("https://youtu.be/gz6Ol-6pvPA","channel 2")</f>
        <v>channel 2</v>
      </c>
    </row>
    <row r="67">
      <c r="B67" s="77" t="s">
        <v>229</v>
      </c>
      <c r="C67" s="59"/>
      <c r="D67" s="59"/>
      <c r="E67" s="6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1468</v>
      </c>
      <c r="C69" s="73" t="s">
        <v>59</v>
      </c>
      <c r="D69" s="74" t="s">
        <v>1429</v>
      </c>
      <c r="E69" s="13" t="str">
        <f>HYPERLINK("https://youtu.be/wXqNBxHGrJs","channel 1")</f>
        <v>channel 1</v>
      </c>
    </row>
    <row r="70">
      <c r="B70" s="72" t="s">
        <v>805</v>
      </c>
      <c r="C70" s="73" t="s">
        <v>97</v>
      </c>
      <c r="D70" s="74" t="s">
        <v>1027</v>
      </c>
      <c r="E70" s="66" t="str">
        <f>HYPERLINK("https://youtu.be/WWPdjFxnbsg","channel 2")</f>
        <v>channel 2</v>
      </c>
    </row>
    <row r="71">
      <c r="B71" s="72" t="s">
        <v>1469</v>
      </c>
      <c r="C71" s="73" t="s">
        <v>851</v>
      </c>
      <c r="D71" s="74" t="s">
        <v>1468</v>
      </c>
      <c r="E71" s="13" t="str">
        <f>HYPERLINK("https://youtu.be/xlewYXrXsgw","channel 1")</f>
        <v>channel 1</v>
      </c>
    </row>
    <row r="72">
      <c r="B72" s="72" t="s">
        <v>805</v>
      </c>
      <c r="C72" s="73" t="s">
        <v>846</v>
      </c>
      <c r="D72" s="74" t="s">
        <v>1429</v>
      </c>
      <c r="E72" s="66" t="str">
        <f>HYPERLINK("https://youtu.be/Xsr1oc-_AxU","channel 2")</f>
        <v>channel 2</v>
      </c>
    </row>
    <row r="73">
      <c r="B73" s="72" t="s">
        <v>1469</v>
      </c>
      <c r="C73" s="73" t="s">
        <v>477</v>
      </c>
      <c r="D73" s="74" t="s">
        <v>1027</v>
      </c>
      <c r="E73" s="13" t="str">
        <f>HYPERLINK("https://youtu.be/0XSI36wCROQ","channel 1")</f>
        <v>channel 1</v>
      </c>
    </row>
    <row r="74">
      <c r="B74" s="72" t="s">
        <v>805</v>
      </c>
      <c r="C74" s="73" t="s">
        <v>1470</v>
      </c>
      <c r="D74" s="74" t="s">
        <v>1468</v>
      </c>
      <c r="E74" s="66" t="str">
        <f>HYPERLINK("https://youtu.be/OI84m_LkzC4","channel 2")</f>
        <v>channel 2</v>
      </c>
    </row>
    <row r="75">
      <c r="B75" s="72" t="s">
        <v>1469</v>
      </c>
      <c r="C75" s="73" t="s">
        <v>108</v>
      </c>
      <c r="D75" s="74" t="s">
        <v>1429</v>
      </c>
      <c r="E75" s="13" t="str">
        <f>HYPERLINK("https://youtu.be/9mUMOB6xJJc","channel 1")</f>
        <v>channel 1</v>
      </c>
    </row>
    <row r="76">
      <c r="B76" s="72" t="s">
        <v>1027</v>
      </c>
      <c r="C76" s="73" t="s">
        <v>47</v>
      </c>
      <c r="D76" s="74" t="s">
        <v>1468</v>
      </c>
      <c r="E76" s="66" t="str">
        <f>HYPERLINK("https://youtu.be/KKwAiSxWIa0","channel 2")</f>
        <v>channel 2</v>
      </c>
    </row>
    <row r="77">
      <c r="B77" s="72" t="s">
        <v>1469</v>
      </c>
      <c r="C77" s="73" t="s">
        <v>35</v>
      </c>
      <c r="D77" s="74" t="s">
        <v>805</v>
      </c>
      <c r="E77" s="13" t="str">
        <f>HYPERLINK("https://youtu.be/NsxVX2CpAts","channel 1")</f>
        <v>channel 1</v>
      </c>
    </row>
    <row r="78">
      <c r="B78" s="72" t="s">
        <v>1027</v>
      </c>
      <c r="C78" s="73" t="s">
        <v>148</v>
      </c>
      <c r="D78" s="74" t="s">
        <v>1429</v>
      </c>
      <c r="E78" s="66" t="str">
        <f>HYPERLINK("https://youtu.be/swFeFQ317uw","channel 2")</f>
        <v>channel 2</v>
      </c>
    </row>
    <row r="79">
      <c r="B79" s="72" t="s">
        <v>1429</v>
      </c>
      <c r="C79" s="73" t="s">
        <v>74</v>
      </c>
      <c r="D79" s="74" t="s">
        <v>1468</v>
      </c>
      <c r="E79" s="13" t="str">
        <f>HYPERLINK("https://youtu.be/UqO5-HiAzW0","channel 1")</f>
        <v>channel 1</v>
      </c>
    </row>
    <row r="80">
      <c r="B80" s="72" t="s">
        <v>1027</v>
      </c>
      <c r="C80" s="73" t="s">
        <v>47</v>
      </c>
      <c r="D80" s="74" t="s">
        <v>805</v>
      </c>
      <c r="E80" s="66" t="str">
        <f>HYPERLINK("https://youtu.be/nnUqgGcmFq4","channel 2")</f>
        <v>channel 2</v>
      </c>
    </row>
    <row r="81">
      <c r="B81" s="72" t="s">
        <v>1468</v>
      </c>
      <c r="C81" s="73" t="s">
        <v>109</v>
      </c>
      <c r="D81" s="74" t="s">
        <v>1469</v>
      </c>
      <c r="E81" s="13" t="str">
        <f>HYPERLINK("https://youtu.be/jtB1ZlPKAV0","channel 1")</f>
        <v>channel 1</v>
      </c>
    </row>
    <row r="82">
      <c r="B82" s="72" t="s">
        <v>1429</v>
      </c>
      <c r="C82" s="73" t="s">
        <v>374</v>
      </c>
      <c r="D82" s="74" t="s">
        <v>805</v>
      </c>
      <c r="E82" s="66" t="str">
        <f>HYPERLINK("https://youtu.be/Gkx_ZgtiZJk","channel 2")</f>
        <v>channel 2</v>
      </c>
    </row>
    <row r="83">
      <c r="B83" s="72" t="s">
        <v>1027</v>
      </c>
      <c r="C83" s="73" t="s">
        <v>97</v>
      </c>
      <c r="D83" s="74" t="s">
        <v>1469</v>
      </c>
      <c r="E83" s="13" t="str">
        <f>HYPERLINK("https://youtu.be/kg457Xy3HtE","channel 1")</f>
        <v>channel 1</v>
      </c>
    </row>
    <row r="84">
      <c r="B84" s="72" t="s">
        <v>1468</v>
      </c>
      <c r="C84" s="73" t="s">
        <v>124</v>
      </c>
      <c r="D84" s="74" t="s">
        <v>805</v>
      </c>
      <c r="E84" s="66" t="str">
        <f>HYPERLINK("https://youtu.be/9DLNCxD6Kzg","channel 2")</f>
        <v>channel 2</v>
      </c>
    </row>
    <row r="85">
      <c r="B85" s="72" t="s">
        <v>1429</v>
      </c>
      <c r="C85" s="73" t="s">
        <v>138</v>
      </c>
      <c r="D85" s="74" t="s">
        <v>1469</v>
      </c>
      <c r="E85" s="13" t="str">
        <f>HYPERLINK("https://youtu.be/NCcjTjekOeY","channel 1")</f>
        <v>channel 1</v>
      </c>
    </row>
    <row r="86">
      <c r="B86" s="72" t="s">
        <v>1468</v>
      </c>
      <c r="C86" s="73" t="s">
        <v>146</v>
      </c>
      <c r="D86" s="74" t="s">
        <v>1027</v>
      </c>
      <c r="E86" s="66" t="str">
        <f>HYPERLINK("https://youtu.be/_i8FiysnboA","channel 2")</f>
        <v>channel 2</v>
      </c>
    </row>
    <row r="87">
      <c r="B87" s="72" t="s">
        <v>805</v>
      </c>
      <c r="C87" s="73" t="s">
        <v>232</v>
      </c>
      <c r="D87" s="74" t="s">
        <v>1469</v>
      </c>
      <c r="E87" s="13" t="str">
        <f>HYPERLINK("https://youtu.be/Zac9LedRYc4","channel 1")</f>
        <v>channel 1</v>
      </c>
    </row>
    <row r="88">
      <c r="B88" s="72" t="s">
        <v>1429</v>
      </c>
      <c r="C88" s="73" t="s">
        <v>138</v>
      </c>
      <c r="D88" s="74" t="s">
        <v>1027</v>
      </c>
      <c r="E88" s="66" t="str">
        <f>HYPERLINK("https://youtu.be/raz-ICYCtw4","channel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1454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1455</v>
      </c>
      <c r="C3" s="70" t="s">
        <v>84</v>
      </c>
      <c r="D3" s="71" t="s">
        <v>351</v>
      </c>
      <c r="E3" s="13" t="str">
        <f>HYPERLINK("https://youtu.be/t1MFLjO8TZ4","channel 1")</f>
        <v>channel 1</v>
      </c>
    </row>
    <row r="4">
      <c r="B4" s="72" t="s">
        <v>1456</v>
      </c>
      <c r="C4" s="73" t="s">
        <v>142</v>
      </c>
      <c r="D4" s="74" t="s">
        <v>1457</v>
      </c>
      <c r="E4" s="66" t="str">
        <f>HYPERLINK("https://youtu.be/kBMGov2mVGw","channel 2")</f>
        <v>channel 2</v>
      </c>
    </row>
    <row r="5">
      <c r="B5" s="72" t="s">
        <v>729</v>
      </c>
      <c r="C5" s="73" t="s">
        <v>74</v>
      </c>
      <c r="D5" s="74" t="s">
        <v>1455</v>
      </c>
      <c r="E5" s="13" t="str">
        <f>HYPERLINK("https://youtu.be/USbzbd7r2bs","channel 1")</f>
        <v>channel 1</v>
      </c>
    </row>
    <row r="6">
      <c r="B6" s="72" t="s">
        <v>1456</v>
      </c>
      <c r="C6" s="73" t="s">
        <v>85</v>
      </c>
      <c r="D6" s="74" t="s">
        <v>351</v>
      </c>
      <c r="E6" s="66" t="str">
        <f>HYPERLINK("https://youtu.be/GKPYaDLz-gU","channel 2")</f>
        <v>channel 2</v>
      </c>
    </row>
    <row r="7">
      <c r="B7" s="72" t="s">
        <v>729</v>
      </c>
      <c r="C7" s="73" t="s">
        <v>32</v>
      </c>
      <c r="D7" s="74" t="s">
        <v>1457</v>
      </c>
      <c r="E7" s="13" t="str">
        <f>HYPERLINK("https://youtu.be/7j0PoJeU4K8","channel 1")</f>
        <v>channel 1</v>
      </c>
    </row>
    <row r="8">
      <c r="B8" s="72" t="s">
        <v>1456</v>
      </c>
      <c r="C8" s="73" t="s">
        <v>24</v>
      </c>
      <c r="D8" s="74" t="s">
        <v>1455</v>
      </c>
      <c r="E8" s="66" t="str">
        <f>HYPERLINK("https://youtu.be/fktdwXSFkQI","channel 2")</f>
        <v>channel 2</v>
      </c>
    </row>
    <row r="9">
      <c r="B9" s="72" t="s">
        <v>729</v>
      </c>
      <c r="C9" s="73" t="s">
        <v>1460</v>
      </c>
      <c r="D9" s="74" t="s">
        <v>351</v>
      </c>
      <c r="E9" s="13" t="str">
        <f>HYPERLINK("https://youtu.be/jKC6TbtSs1Q","channel 1")</f>
        <v>channel 1</v>
      </c>
    </row>
    <row r="10">
      <c r="B10" s="72" t="s">
        <v>1457</v>
      </c>
      <c r="C10" s="73" t="s">
        <v>148</v>
      </c>
      <c r="D10" s="74" t="s">
        <v>1455</v>
      </c>
      <c r="E10" s="66" t="str">
        <f>HYPERLINK("https://youtu.be/P_RoD__2bp4","channel 2")</f>
        <v>channel 2</v>
      </c>
    </row>
    <row r="11">
      <c r="B11" s="72" t="s">
        <v>729</v>
      </c>
      <c r="C11" s="73" t="s">
        <v>103</v>
      </c>
      <c r="D11" s="74" t="s">
        <v>1456</v>
      </c>
      <c r="E11" s="13" t="str">
        <f>HYPERLINK("https://youtu.be/jV7W8F-NsDU","channel 1")</f>
        <v>channel 1</v>
      </c>
    </row>
    <row r="12">
      <c r="B12" s="72" t="s">
        <v>1457</v>
      </c>
      <c r="C12" s="73" t="s">
        <v>1461</v>
      </c>
      <c r="D12" s="74" t="s">
        <v>351</v>
      </c>
      <c r="E12" s="66" t="str">
        <f>HYPERLINK("https://youtu.be/P89sdvenR4M","channel 2")</f>
        <v>channel 2</v>
      </c>
    </row>
    <row r="13">
      <c r="B13" s="72" t="s">
        <v>351</v>
      </c>
      <c r="C13" s="73" t="s">
        <v>109</v>
      </c>
      <c r="D13" s="74" t="s">
        <v>1455</v>
      </c>
      <c r="E13" s="13" t="str">
        <f>HYPERLINK("https://youtu.be/2Id17OFgUGo","channel 1")</f>
        <v>channel 1</v>
      </c>
    </row>
    <row r="14">
      <c r="B14" s="72" t="s">
        <v>1457</v>
      </c>
      <c r="C14" s="73" t="s">
        <v>108</v>
      </c>
      <c r="D14" s="74" t="s">
        <v>1456</v>
      </c>
      <c r="E14" s="66" t="str">
        <f>HYPERLINK("https://youtu.be/8VbQVEmGEKM","channel 2")</f>
        <v>channel 2</v>
      </c>
    </row>
    <row r="15">
      <c r="B15" s="72" t="s">
        <v>1455</v>
      </c>
      <c r="C15" s="73" t="s">
        <v>20</v>
      </c>
      <c r="D15" s="74" t="s">
        <v>729</v>
      </c>
      <c r="E15" s="13" t="str">
        <f>HYPERLINK("https://youtu.be/PtrxWUVfxLI","channel 1")</f>
        <v>channel 1</v>
      </c>
    </row>
    <row r="16">
      <c r="B16" s="72" t="s">
        <v>351</v>
      </c>
      <c r="C16" s="73" t="s">
        <v>1463</v>
      </c>
      <c r="D16" s="74" t="s">
        <v>1456</v>
      </c>
      <c r="E16" s="66" t="str">
        <f>HYPERLINK("https://youtu.be/ur1L9LwG8dQ","channel 2")</f>
        <v>channel 2</v>
      </c>
    </row>
    <row r="17">
      <c r="B17" s="72" t="s">
        <v>1457</v>
      </c>
      <c r="C17" s="73" t="s">
        <v>30</v>
      </c>
      <c r="D17" s="74" t="s">
        <v>729</v>
      </c>
      <c r="E17" s="13" t="str">
        <f>HYPERLINK("https://youtu.be/vZkEzoQ5zw8","channel 1")</f>
        <v>channel 1</v>
      </c>
    </row>
    <row r="18">
      <c r="B18" s="72" t="s">
        <v>1455</v>
      </c>
      <c r="C18" s="73" t="s">
        <v>138</v>
      </c>
      <c r="D18" s="74" t="s">
        <v>1456</v>
      </c>
      <c r="E18" s="66" t="str">
        <f>HYPERLINK("https://youtu.be/XDuTv_ExID0","channel 2")</f>
        <v>channel 2</v>
      </c>
    </row>
    <row r="19">
      <c r="B19" s="72" t="s">
        <v>351</v>
      </c>
      <c r="C19" s="73" t="s">
        <v>405</v>
      </c>
      <c r="D19" s="74" t="s">
        <v>729</v>
      </c>
      <c r="E19" s="13" t="str">
        <f>HYPERLINK("https://youtu.be/zoEYNv0-oKg","channel 1")</f>
        <v>channel 1</v>
      </c>
    </row>
    <row r="20">
      <c r="B20" s="72" t="s">
        <v>1455</v>
      </c>
      <c r="C20" s="73" t="s">
        <v>89</v>
      </c>
      <c r="D20" s="74" t="s">
        <v>1457</v>
      </c>
      <c r="E20" s="66" t="str">
        <f>HYPERLINK("https://youtu.be/CEMkxC94j5c","channel 2")</f>
        <v>channel 2</v>
      </c>
    </row>
    <row r="21">
      <c r="B21" s="72" t="s">
        <v>1456</v>
      </c>
      <c r="C21" s="73" t="s">
        <v>337</v>
      </c>
      <c r="D21" s="74" t="s">
        <v>729</v>
      </c>
      <c r="E21" s="13" t="str">
        <f>HYPERLINK("https://youtu.be/JaOgLeEKeC8","channel 1")</f>
        <v>channel 1</v>
      </c>
    </row>
    <row r="22">
      <c r="B22" s="72" t="s">
        <v>351</v>
      </c>
      <c r="C22" s="73" t="s">
        <v>32</v>
      </c>
      <c r="D22" s="74" t="s">
        <v>1457</v>
      </c>
      <c r="E22" s="66" t="str">
        <f>HYPERLINK("https://youtu.be/vxE5T9GjDws","channel 2")</f>
        <v>channel 2</v>
      </c>
    </row>
    <row r="23">
      <c r="B23" s="58" t="s">
        <v>1464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1465</v>
      </c>
      <c r="C25" s="70" t="s">
        <v>32</v>
      </c>
      <c r="D25" s="71" t="s">
        <v>1466</v>
      </c>
      <c r="E25" s="13" t="str">
        <f>HYPERLINK("https://youtu.be/TkaqqjH7QsA","channel 1")</f>
        <v>channel 1</v>
      </c>
    </row>
    <row r="26">
      <c r="B26" s="72" t="s">
        <v>1467</v>
      </c>
      <c r="C26" s="73" t="s">
        <v>210</v>
      </c>
      <c r="D26" s="74" t="s">
        <v>410</v>
      </c>
      <c r="E26" s="66" t="str">
        <f>HYPERLINK("https://youtu.be/6h4vlSC6kwQ","channel 2")</f>
        <v>channel 2</v>
      </c>
    </row>
    <row r="27">
      <c r="B27" s="72" t="s">
        <v>667</v>
      </c>
      <c r="C27" s="73" t="s">
        <v>18</v>
      </c>
      <c r="D27" s="74" t="s">
        <v>1465</v>
      </c>
      <c r="E27" s="13" t="str">
        <f>HYPERLINK("https://youtu.be/ft9HLPPPtgw","channel 1")</f>
        <v>channel 1</v>
      </c>
    </row>
    <row r="28">
      <c r="B28" s="72" t="s">
        <v>1467</v>
      </c>
      <c r="C28" s="73" t="s">
        <v>821</v>
      </c>
      <c r="D28" s="74" t="s">
        <v>1466</v>
      </c>
      <c r="E28" s="66" t="str">
        <f>HYPERLINK("https://youtu.be/RzCY0A5HChg","channel 2")</f>
        <v>channel 2</v>
      </c>
    </row>
    <row r="29">
      <c r="B29" s="72" t="s">
        <v>667</v>
      </c>
      <c r="C29" s="73" t="s">
        <v>188</v>
      </c>
      <c r="D29" s="74" t="s">
        <v>410</v>
      </c>
      <c r="E29" s="13" t="str">
        <f>HYPERLINK("https://youtu.be/3ErueO7D0Vk","channel 1")</f>
        <v>channel 1</v>
      </c>
    </row>
    <row r="30">
      <c r="B30" s="72" t="s">
        <v>1467</v>
      </c>
      <c r="C30" s="73" t="s">
        <v>141</v>
      </c>
      <c r="D30" s="74" t="s">
        <v>1465</v>
      </c>
      <c r="E30" s="66" t="str">
        <f>HYPERLINK("https://youtu.be/8Uz34jVGRMM","channel 2")</f>
        <v>channel 2</v>
      </c>
    </row>
    <row r="31">
      <c r="B31" s="72" t="s">
        <v>667</v>
      </c>
      <c r="C31" s="73" t="s">
        <v>141</v>
      </c>
      <c r="D31" s="74" t="s">
        <v>1466</v>
      </c>
      <c r="E31" s="13" t="str">
        <f>HYPERLINK("https://youtu.be/NIAJ_do_X7Q","channel 1")</f>
        <v>channel 1</v>
      </c>
    </row>
    <row r="32">
      <c r="B32" s="72" t="s">
        <v>410</v>
      </c>
      <c r="C32" s="73" t="s">
        <v>46</v>
      </c>
      <c r="D32" s="74" t="s">
        <v>1465</v>
      </c>
      <c r="E32" s="66" t="str">
        <f>HYPERLINK("https://youtu.be/ktC4DDehPfU","channel 2")</f>
        <v>channel 2</v>
      </c>
    </row>
    <row r="33">
      <c r="B33" s="72" t="s">
        <v>667</v>
      </c>
      <c r="C33" s="73" t="s">
        <v>108</v>
      </c>
      <c r="D33" s="74" t="s">
        <v>1467</v>
      </c>
      <c r="E33" s="13" t="str">
        <f>HYPERLINK("https://youtu.be/wHsw5jbSH-c","channel 1")</f>
        <v>channel 1</v>
      </c>
    </row>
    <row r="34">
      <c r="B34" s="72" t="s">
        <v>410</v>
      </c>
      <c r="C34" s="73" t="s">
        <v>18</v>
      </c>
      <c r="D34" s="74" t="s">
        <v>1466</v>
      </c>
      <c r="E34" s="66" t="str">
        <f>HYPERLINK("https://youtu.be/IteUBIYUvM8","channel 2")</f>
        <v>channel 2</v>
      </c>
    </row>
    <row r="35">
      <c r="B35" s="72" t="s">
        <v>1466</v>
      </c>
      <c r="C35" s="73" t="s">
        <v>59</v>
      </c>
      <c r="D35" s="74" t="s">
        <v>1465</v>
      </c>
      <c r="E35" s="13" t="str">
        <f>HYPERLINK("https://youtu.be/de4ky6Xg1l8","channel 1")</f>
        <v>channel 1</v>
      </c>
    </row>
    <row r="36">
      <c r="B36" s="72" t="s">
        <v>410</v>
      </c>
      <c r="C36" s="73" t="s">
        <v>40</v>
      </c>
      <c r="D36" s="74" t="s">
        <v>1467</v>
      </c>
      <c r="E36" s="66" t="str">
        <f>HYPERLINK("https://youtu.be/2-h1XV8KIgE","channel 2")</f>
        <v>channel 2</v>
      </c>
    </row>
    <row r="37">
      <c r="B37" s="72" t="s">
        <v>1465</v>
      </c>
      <c r="C37" s="73" t="s">
        <v>59</v>
      </c>
      <c r="D37" s="74" t="s">
        <v>667</v>
      </c>
      <c r="E37" s="13" t="str">
        <f>HYPERLINK("https://youtu.be/UwzPFuO8nf8","channel 1")</f>
        <v>channel 1</v>
      </c>
    </row>
    <row r="38">
      <c r="B38" s="72" t="s">
        <v>1466</v>
      </c>
      <c r="C38" s="73" t="s">
        <v>143</v>
      </c>
      <c r="D38" s="74" t="s">
        <v>1467</v>
      </c>
      <c r="E38" s="66" t="str">
        <f>HYPERLINK("https://youtu.be/-5PmqMzgFwg","channel 2")</f>
        <v>channel 2</v>
      </c>
    </row>
    <row r="39">
      <c r="B39" s="72" t="s">
        <v>410</v>
      </c>
      <c r="C39" s="73" t="s">
        <v>27</v>
      </c>
      <c r="D39" s="74" t="s">
        <v>667</v>
      </c>
      <c r="E39" s="13" t="str">
        <f>HYPERLINK("https://youtu.be/yfizTu4ZJ8Y","channel 1")</f>
        <v>channel 1</v>
      </c>
    </row>
    <row r="40">
      <c r="B40" s="72" t="s">
        <v>1465</v>
      </c>
      <c r="C40" s="73" t="s">
        <v>145</v>
      </c>
      <c r="D40" s="74" t="s">
        <v>1467</v>
      </c>
      <c r="E40" s="66" t="str">
        <f>HYPERLINK("https://youtu.be/d3jNfSkVDlc","channel 2")</f>
        <v>channel 2</v>
      </c>
    </row>
    <row r="41">
      <c r="B41" s="72" t="s">
        <v>1466</v>
      </c>
      <c r="C41" s="73" t="s">
        <v>219</v>
      </c>
      <c r="D41" s="74" t="s">
        <v>667</v>
      </c>
      <c r="E41" s="13" t="str">
        <f>HYPERLINK("https://youtu.be/M7iSrwYcsZ4","channel 1")</f>
        <v>channel 1</v>
      </c>
    </row>
    <row r="42">
      <c r="B42" s="72" t="s">
        <v>1465</v>
      </c>
      <c r="C42" s="73" t="s">
        <v>538</v>
      </c>
      <c r="D42" s="74" t="s">
        <v>410</v>
      </c>
      <c r="E42" s="66" t="str">
        <f>HYPERLINK("https://youtu.be/yoqzADEXH0k","channel 2")</f>
        <v>channel 2</v>
      </c>
    </row>
    <row r="43">
      <c r="B43" s="72" t="s">
        <v>1467</v>
      </c>
      <c r="C43" s="73" t="s">
        <v>138</v>
      </c>
      <c r="D43" s="74" t="s">
        <v>667</v>
      </c>
      <c r="E43" s="13" t="str">
        <f>HYPERLINK("https://youtu.be/t4wjltDSElo","channel 1")</f>
        <v>channel 1</v>
      </c>
    </row>
    <row r="44">
      <c r="B44" s="72" t="s">
        <v>1466</v>
      </c>
      <c r="C44" s="73" t="s">
        <v>42</v>
      </c>
      <c r="D44" s="74" t="s">
        <v>410</v>
      </c>
      <c r="E44" s="66" t="str">
        <f>HYPERLINK("https://youtu.be/Jxtg5E8mWMA","channel 2")</f>
        <v>channel 2</v>
      </c>
    </row>
    <row r="45">
      <c r="B45" s="57"/>
      <c r="E45" s="92"/>
    </row>
    <row r="46">
      <c r="B46" s="93"/>
      <c r="C46" s="94"/>
      <c r="D46" s="93"/>
      <c r="E46" s="93"/>
    </row>
    <row r="47">
      <c r="B47" s="45"/>
      <c r="C47" s="95"/>
      <c r="D47" s="45"/>
      <c r="E47" s="92"/>
    </row>
    <row r="48">
      <c r="B48" s="45"/>
      <c r="C48" s="95"/>
      <c r="D48" s="45"/>
      <c r="E48" s="92"/>
    </row>
    <row r="49">
      <c r="B49" s="45"/>
      <c r="C49" s="95"/>
      <c r="D49" s="45"/>
      <c r="E49" s="92"/>
    </row>
    <row r="50">
      <c r="B50" s="45"/>
      <c r="C50" s="95"/>
      <c r="D50" s="45"/>
      <c r="E50" s="92"/>
    </row>
    <row r="51">
      <c r="B51" s="45"/>
      <c r="C51" s="95"/>
      <c r="D51" s="45"/>
      <c r="E51" s="92"/>
    </row>
    <row r="52">
      <c r="B52" s="45"/>
      <c r="C52" s="95"/>
      <c r="D52" s="45"/>
      <c r="E52" s="92"/>
    </row>
    <row r="53">
      <c r="B53" s="45"/>
      <c r="C53" s="95"/>
      <c r="D53" s="45"/>
      <c r="E53" s="92"/>
    </row>
    <row r="54">
      <c r="B54" s="45"/>
      <c r="C54" s="95"/>
      <c r="D54" s="45"/>
      <c r="E54" s="92"/>
    </row>
    <row r="55">
      <c r="B55" s="45"/>
      <c r="C55" s="95"/>
      <c r="D55" s="45"/>
      <c r="E55" s="92"/>
    </row>
    <row r="56">
      <c r="B56" s="45"/>
      <c r="C56" s="95"/>
      <c r="D56" s="45"/>
      <c r="E56" s="92"/>
    </row>
    <row r="57">
      <c r="B57" s="45"/>
      <c r="C57" s="95"/>
      <c r="D57" s="45"/>
      <c r="E57" s="92"/>
    </row>
    <row r="58">
      <c r="B58" s="45"/>
      <c r="C58" s="95"/>
      <c r="D58" s="45"/>
      <c r="E58" s="92"/>
    </row>
    <row r="59">
      <c r="B59" s="45"/>
      <c r="C59" s="95"/>
      <c r="D59" s="45"/>
      <c r="E59" s="92"/>
    </row>
    <row r="60">
      <c r="B60" s="45"/>
      <c r="C60" s="95"/>
      <c r="D60" s="45"/>
      <c r="E60" s="92"/>
    </row>
    <row r="61">
      <c r="B61" s="45"/>
      <c r="C61" s="95"/>
      <c r="D61" s="45"/>
      <c r="E61" s="92"/>
    </row>
    <row r="62">
      <c r="B62" s="45"/>
      <c r="C62" s="95"/>
      <c r="D62" s="45"/>
      <c r="E62" s="92"/>
    </row>
    <row r="63">
      <c r="B63" s="45"/>
      <c r="C63" s="95"/>
      <c r="D63" s="45"/>
      <c r="E63" s="92"/>
    </row>
    <row r="64">
      <c r="B64" s="45"/>
      <c r="C64" s="95"/>
      <c r="D64" s="45"/>
      <c r="E64" s="92"/>
    </row>
    <row r="65">
      <c r="B65" s="45"/>
      <c r="C65" s="95"/>
      <c r="D65" s="45"/>
      <c r="E65" s="92"/>
    </row>
    <row r="66">
      <c r="B66" s="45"/>
      <c r="C66" s="95"/>
      <c r="D66" s="45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45"/>
      <c r="C69" s="95"/>
      <c r="D69" s="45"/>
      <c r="E69" s="92"/>
    </row>
    <row r="70">
      <c r="B70" s="45"/>
      <c r="C70" s="95"/>
      <c r="D70" s="45"/>
      <c r="E70" s="92"/>
    </row>
    <row r="71">
      <c r="B71" s="45"/>
      <c r="C71" s="95"/>
      <c r="D71" s="45"/>
      <c r="E71" s="92"/>
    </row>
    <row r="72">
      <c r="B72" s="45"/>
      <c r="C72" s="95"/>
      <c r="D72" s="45"/>
      <c r="E72" s="92"/>
    </row>
    <row r="73">
      <c r="B73" s="45"/>
      <c r="C73" s="95"/>
      <c r="D73" s="45"/>
      <c r="E73" s="92"/>
    </row>
    <row r="74">
      <c r="B74" s="45"/>
      <c r="C74" s="95"/>
      <c r="D74" s="45"/>
      <c r="E74" s="92"/>
    </row>
    <row r="75">
      <c r="B75" s="45"/>
      <c r="C75" s="95"/>
      <c r="D75" s="45"/>
      <c r="E75" s="92"/>
    </row>
    <row r="76">
      <c r="B76" s="45"/>
      <c r="C76" s="95"/>
      <c r="D76" s="45"/>
      <c r="E76" s="92"/>
    </row>
    <row r="77">
      <c r="B77" s="45"/>
      <c r="C77" s="95"/>
      <c r="D77" s="45"/>
      <c r="E77" s="92"/>
    </row>
    <row r="78">
      <c r="B78" s="45"/>
      <c r="C78" s="95"/>
      <c r="D78" s="45"/>
      <c r="E78" s="92"/>
    </row>
    <row r="79">
      <c r="B79" s="45"/>
      <c r="C79" s="95"/>
      <c r="D79" s="45"/>
      <c r="E79" s="92"/>
    </row>
    <row r="80">
      <c r="B80" s="45"/>
      <c r="C80" s="95"/>
      <c r="D80" s="45"/>
      <c r="E80" s="92"/>
    </row>
    <row r="81">
      <c r="B81" s="45"/>
      <c r="C81" s="95"/>
      <c r="D81" s="45"/>
      <c r="E81" s="92"/>
    </row>
    <row r="82">
      <c r="B82" s="45"/>
      <c r="C82" s="95"/>
      <c r="D82" s="45"/>
      <c r="E82" s="92"/>
    </row>
    <row r="83">
      <c r="B83" s="45"/>
      <c r="C83" s="95"/>
      <c r="D83" s="45"/>
      <c r="E83" s="92"/>
    </row>
    <row r="84">
      <c r="B84" s="45"/>
      <c r="C84" s="95"/>
      <c r="D84" s="45"/>
      <c r="E84" s="92"/>
    </row>
    <row r="85">
      <c r="B85" s="45"/>
      <c r="C85" s="95"/>
      <c r="D85" s="45"/>
      <c r="E85" s="92"/>
    </row>
    <row r="86">
      <c r="B86" s="45"/>
      <c r="C86" s="95"/>
      <c r="D86" s="45"/>
      <c r="E86" s="92"/>
    </row>
    <row r="87">
      <c r="B87" s="45"/>
      <c r="C87" s="96"/>
      <c r="D87" s="45"/>
      <c r="E87" s="92"/>
    </row>
    <row r="88">
      <c r="B88" s="45"/>
      <c r="C88" s="96"/>
      <c r="D88" s="45"/>
      <c r="E88" s="92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1234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567</v>
      </c>
      <c r="C3" s="70" t="s">
        <v>232</v>
      </c>
      <c r="D3" s="85" t="s">
        <v>1420</v>
      </c>
      <c r="E3" s="13" t="str">
        <f>HYPERLINK("https://youtu.be/4qV8q-HfkVo","channel 1")</f>
        <v>channel 1</v>
      </c>
    </row>
    <row r="4">
      <c r="B4" s="79" t="s">
        <v>732</v>
      </c>
      <c r="C4" s="73" t="s">
        <v>598</v>
      </c>
      <c r="D4" s="86" t="s">
        <v>1471</v>
      </c>
      <c r="E4" s="66" t="str">
        <f>HYPERLINK("https://youtu.be/Y-IEk0jkt60","channel 2")</f>
        <v>channel 2</v>
      </c>
    </row>
    <row r="5">
      <c r="B5" s="79" t="s">
        <v>663</v>
      </c>
      <c r="C5" s="73" t="s">
        <v>99</v>
      </c>
      <c r="D5" s="86" t="s">
        <v>567</v>
      </c>
      <c r="E5" s="13" t="str">
        <f>HYPERLINK("https://youtu.be/rH7a-JU99hM","channel 1")</f>
        <v>channel 1</v>
      </c>
    </row>
    <row r="6">
      <c r="B6" s="79" t="s">
        <v>732</v>
      </c>
      <c r="C6" s="73" t="s">
        <v>470</v>
      </c>
      <c r="D6" s="86" t="s">
        <v>1420</v>
      </c>
      <c r="E6" s="66" t="str">
        <f>HYPERLINK("https://youtu.be/Xv_DQzM4ubI","channel 2")</f>
        <v>channel 2</v>
      </c>
    </row>
    <row r="7">
      <c r="B7" s="79" t="s">
        <v>663</v>
      </c>
      <c r="C7" s="73" t="s">
        <v>142</v>
      </c>
      <c r="D7" s="86" t="s">
        <v>1471</v>
      </c>
      <c r="E7" s="13" t="str">
        <f>HYPERLINK("https://youtu.be/O8jTo3iSoKQ","channel 1")</f>
        <v>channel 1</v>
      </c>
    </row>
    <row r="8">
      <c r="B8" s="79" t="s">
        <v>732</v>
      </c>
      <c r="C8" s="73" t="s">
        <v>34</v>
      </c>
      <c r="D8" s="86" t="s">
        <v>567</v>
      </c>
      <c r="E8" s="66" t="str">
        <f>HYPERLINK("https://youtu.be/ZFKszP6NPzs","channel 2")</f>
        <v>channel 2</v>
      </c>
    </row>
    <row r="9">
      <c r="B9" s="79" t="s">
        <v>663</v>
      </c>
      <c r="C9" s="73" t="s">
        <v>108</v>
      </c>
      <c r="D9" s="86" t="s">
        <v>1420</v>
      </c>
      <c r="E9" s="13" t="str">
        <f>HYPERLINK("https://youtu.be/7DWavqc9TyU","channel 1")</f>
        <v>channel 1</v>
      </c>
    </row>
    <row r="10">
      <c r="B10" s="79" t="s">
        <v>1471</v>
      </c>
      <c r="C10" s="73" t="s">
        <v>179</v>
      </c>
      <c r="D10" s="86" t="s">
        <v>567</v>
      </c>
      <c r="E10" s="66" t="str">
        <f>HYPERLINK("https://youtu.be/-oq75hJB7s0","channel 2")</f>
        <v>channel 2</v>
      </c>
    </row>
    <row r="11">
      <c r="B11" s="79" t="s">
        <v>663</v>
      </c>
      <c r="C11" s="73" t="s">
        <v>145</v>
      </c>
      <c r="D11" s="86" t="s">
        <v>732</v>
      </c>
      <c r="E11" s="13" t="str">
        <f>HYPERLINK("https://youtu.be/FYW2c232fQE","channel 1")</f>
        <v>channel 1</v>
      </c>
    </row>
    <row r="12">
      <c r="B12" s="79" t="s">
        <v>1471</v>
      </c>
      <c r="C12" s="73" t="s">
        <v>1472</v>
      </c>
      <c r="D12" s="86" t="s">
        <v>1420</v>
      </c>
      <c r="E12" s="66" t="str">
        <f>HYPERLINK("https://youtu.be/C4c6xPjJQto","channel 2")</f>
        <v>channel 2</v>
      </c>
    </row>
    <row r="13">
      <c r="B13" s="79" t="s">
        <v>1420</v>
      </c>
      <c r="C13" s="73" t="s">
        <v>20</v>
      </c>
      <c r="D13" s="86" t="s">
        <v>567</v>
      </c>
      <c r="E13" s="13" t="str">
        <f>HYPERLINK("https://youtu.be/FseWFUFkhGc","channel 1")</f>
        <v>channel 1</v>
      </c>
    </row>
    <row r="14">
      <c r="B14" s="79" t="s">
        <v>1471</v>
      </c>
      <c r="C14" s="73" t="s">
        <v>393</v>
      </c>
      <c r="D14" s="86" t="s">
        <v>732</v>
      </c>
      <c r="E14" s="66" t="str">
        <f>HYPERLINK("https://youtu.be/d6I13WCd5IE","channel 2")</f>
        <v>channel 2</v>
      </c>
    </row>
    <row r="15">
      <c r="B15" s="79" t="s">
        <v>567</v>
      </c>
      <c r="C15" s="73" t="s">
        <v>47</v>
      </c>
      <c r="D15" s="86" t="s">
        <v>663</v>
      </c>
      <c r="E15" s="13" t="str">
        <f>HYPERLINK("https://youtu.be/3BPjLDundV0","channel 1")</f>
        <v>channel 1</v>
      </c>
    </row>
    <row r="16">
      <c r="B16" s="79" t="s">
        <v>1420</v>
      </c>
      <c r="C16" s="73" t="s">
        <v>671</v>
      </c>
      <c r="D16" s="86" t="s">
        <v>732</v>
      </c>
      <c r="E16" s="66" t="str">
        <f>HYPERLINK("https://youtu.be/n58uiPSalCo","channel 2")</f>
        <v>channel 2</v>
      </c>
    </row>
    <row r="17">
      <c r="B17" s="79" t="s">
        <v>1471</v>
      </c>
      <c r="C17" s="73" t="s">
        <v>59</v>
      </c>
      <c r="D17" s="86" t="s">
        <v>663</v>
      </c>
      <c r="E17" s="13" t="str">
        <f>HYPERLINK("https://youtu.be/J__J-vAo75Q","channel 1")</f>
        <v>channel 1</v>
      </c>
    </row>
    <row r="18">
      <c r="B18" s="79" t="s">
        <v>567</v>
      </c>
      <c r="C18" s="73" t="s">
        <v>108</v>
      </c>
      <c r="D18" s="86" t="s">
        <v>732</v>
      </c>
      <c r="E18" s="66" t="str">
        <f>HYPERLINK("https://youtu.be/fqsvsIp84mU","channel 2")</f>
        <v>channel 2</v>
      </c>
    </row>
    <row r="19">
      <c r="B19" s="79" t="s">
        <v>1420</v>
      </c>
      <c r="C19" s="73" t="s">
        <v>109</v>
      </c>
      <c r="D19" s="86" t="s">
        <v>663</v>
      </c>
      <c r="E19" s="13" t="str">
        <f>HYPERLINK("https://youtu.be/cMdjp-GExOU","channel 1")</f>
        <v>channel 1</v>
      </c>
    </row>
    <row r="20">
      <c r="B20" s="79" t="s">
        <v>567</v>
      </c>
      <c r="C20" s="73" t="s">
        <v>237</v>
      </c>
      <c r="D20" s="86" t="s">
        <v>1471</v>
      </c>
      <c r="E20" s="66" t="str">
        <f>HYPERLINK("https://youtu.be/C22yM872TSk","channel 2")</f>
        <v>channel 2</v>
      </c>
    </row>
    <row r="21">
      <c r="B21" s="79" t="s">
        <v>732</v>
      </c>
      <c r="C21" s="73" t="s">
        <v>74</v>
      </c>
      <c r="D21" s="86" t="s">
        <v>663</v>
      </c>
      <c r="E21" s="13" t="str">
        <f>HYPERLINK("https://youtu.be/raSvJDv7uJs","channel 1")</f>
        <v>channel 1</v>
      </c>
    </row>
    <row r="22">
      <c r="B22" s="79" t="s">
        <v>1420</v>
      </c>
      <c r="C22" s="73" t="s">
        <v>1391</v>
      </c>
      <c r="D22" s="86" t="s">
        <v>1471</v>
      </c>
      <c r="E22" s="66" t="str">
        <f>HYPERLINK("https://youtu.be/b1e-ZfBiLxg","channel 2")</f>
        <v>channel 2</v>
      </c>
    </row>
    <row r="23">
      <c r="B23" s="58" t="s">
        <v>1390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937</v>
      </c>
      <c r="C25" s="70" t="s">
        <v>86</v>
      </c>
      <c r="D25" s="71" t="s">
        <v>1473</v>
      </c>
      <c r="E25" s="13" t="str">
        <f>HYPERLINK("https://youtu.be/6_ifyeFqDXc","channel 1")</f>
        <v>channel 1</v>
      </c>
    </row>
    <row r="26">
      <c r="B26" s="72" t="s">
        <v>1474</v>
      </c>
      <c r="C26" s="73" t="s">
        <v>143</v>
      </c>
      <c r="D26" s="74" t="s">
        <v>410</v>
      </c>
      <c r="E26" s="66" t="str">
        <f>HYPERLINK("https://youtu.be/LXtayyr73KI","channel 2")</f>
        <v>channel 2</v>
      </c>
    </row>
    <row r="27">
      <c r="B27" s="72" t="s">
        <v>1043</v>
      </c>
      <c r="C27" s="73" t="s">
        <v>143</v>
      </c>
      <c r="D27" s="74" t="s">
        <v>937</v>
      </c>
      <c r="E27" s="13" t="str">
        <f>HYPERLINK("https://youtu.be/dMK2T18bS2Q","channel 1")</f>
        <v>channel 1</v>
      </c>
    </row>
    <row r="28">
      <c r="B28" s="72" t="s">
        <v>1474</v>
      </c>
      <c r="C28" s="73" t="s">
        <v>179</v>
      </c>
      <c r="D28" s="74" t="s">
        <v>1473</v>
      </c>
      <c r="E28" s="66" t="str">
        <f>HYPERLINK("https://youtu.be/Sf8XSzdTVBo","channel 2")</f>
        <v>channel 2</v>
      </c>
    </row>
    <row r="29">
      <c r="B29" s="72" t="s">
        <v>1043</v>
      </c>
      <c r="C29" s="73" t="s">
        <v>157</v>
      </c>
      <c r="D29" s="74" t="s">
        <v>410</v>
      </c>
      <c r="E29" s="13" t="str">
        <f>HYPERLINK("https://youtu.be/6ovwVJF8I3c","channel 1")</f>
        <v>channel 1</v>
      </c>
    </row>
    <row r="30">
      <c r="B30" s="72" t="s">
        <v>1474</v>
      </c>
      <c r="C30" s="73" t="s">
        <v>477</v>
      </c>
      <c r="D30" s="74" t="s">
        <v>937</v>
      </c>
      <c r="E30" s="66" t="str">
        <f>HYPERLINK("https://youtu.be/0L0G09nw4mE","channel 2")</f>
        <v>channel 2</v>
      </c>
    </row>
    <row r="31">
      <c r="B31" s="72" t="s">
        <v>1043</v>
      </c>
      <c r="C31" s="73" t="s">
        <v>193</v>
      </c>
      <c r="D31" s="74" t="s">
        <v>1473</v>
      </c>
      <c r="E31" s="13" t="str">
        <f>HYPERLINK("https://youtu.be/CR2jd02CC48","channel 1")</f>
        <v>channel 1</v>
      </c>
    </row>
    <row r="32">
      <c r="B32" s="72" t="s">
        <v>410</v>
      </c>
      <c r="C32" s="73" t="s">
        <v>90</v>
      </c>
      <c r="D32" s="74" t="s">
        <v>937</v>
      </c>
      <c r="E32" s="66" t="str">
        <f>HYPERLINK("https://youtu.be/MxmEpG-iZpY","channel 2")</f>
        <v>channel 2</v>
      </c>
    </row>
    <row r="33">
      <c r="B33" s="72" t="s">
        <v>1043</v>
      </c>
      <c r="C33" s="73" t="s">
        <v>74</v>
      </c>
      <c r="D33" s="74" t="s">
        <v>1474</v>
      </c>
      <c r="E33" s="13" t="str">
        <f>HYPERLINK("https://youtu.be/1dhDiwfAfms","channel 1")</f>
        <v>channel 1</v>
      </c>
    </row>
    <row r="34">
      <c r="B34" s="72" t="s">
        <v>410</v>
      </c>
      <c r="C34" s="73" t="s">
        <v>180</v>
      </c>
      <c r="D34" s="74" t="s">
        <v>1473</v>
      </c>
      <c r="E34" s="66" t="str">
        <f>HYPERLINK("https://youtu.be/aCVCnQ0xjo8","channel 2")</f>
        <v>channel 2</v>
      </c>
    </row>
    <row r="35">
      <c r="B35" s="72" t="s">
        <v>1473</v>
      </c>
      <c r="C35" s="73" t="s">
        <v>770</v>
      </c>
      <c r="D35" s="74" t="s">
        <v>937</v>
      </c>
      <c r="E35" s="13" t="str">
        <f>HYPERLINK("https://youtu.be/TROtSUr4t3U","channel 1")</f>
        <v>channel 1</v>
      </c>
    </row>
    <row r="36">
      <c r="B36" s="72" t="s">
        <v>410</v>
      </c>
      <c r="C36" s="73" t="s">
        <v>108</v>
      </c>
      <c r="D36" s="74" t="s">
        <v>1474</v>
      </c>
      <c r="E36" s="66" t="str">
        <f>HYPERLINK("https://youtu.be/TBpdmgDEWEs","channel 2")</f>
        <v>channel 2</v>
      </c>
    </row>
    <row r="37">
      <c r="B37" s="72" t="s">
        <v>937</v>
      </c>
      <c r="C37" s="73" t="s">
        <v>179</v>
      </c>
      <c r="D37" s="74" t="s">
        <v>1043</v>
      </c>
      <c r="E37" s="13" t="str">
        <f>HYPERLINK("https://youtu.be/mcXgHoZceCI","channel 1")</f>
        <v>channel 1</v>
      </c>
    </row>
    <row r="38">
      <c r="B38" s="72" t="s">
        <v>1473</v>
      </c>
      <c r="C38" s="73" t="s">
        <v>107</v>
      </c>
      <c r="D38" s="74" t="s">
        <v>1474</v>
      </c>
      <c r="E38" s="66" t="str">
        <f>HYPERLINK("https://youtu.be/GR-wLPKy8Yc","channel 2")</f>
        <v>channel 2</v>
      </c>
    </row>
    <row r="39">
      <c r="B39" s="72" t="s">
        <v>410</v>
      </c>
      <c r="C39" s="73" t="s">
        <v>30</v>
      </c>
      <c r="D39" s="74" t="s">
        <v>1043</v>
      </c>
      <c r="E39" s="23" t="s">
        <v>26</v>
      </c>
    </row>
    <row r="40">
      <c r="B40" s="72" t="s">
        <v>937</v>
      </c>
      <c r="C40" s="73" t="s">
        <v>103</v>
      </c>
      <c r="D40" s="74" t="s">
        <v>1474</v>
      </c>
      <c r="E40" s="66" t="str">
        <f>HYPERLINK("https://youtu.be/_XhbWVZv4s8","channel 2")</f>
        <v>channel 2</v>
      </c>
    </row>
    <row r="41">
      <c r="B41" s="72" t="s">
        <v>1473</v>
      </c>
      <c r="C41" s="73" t="s">
        <v>160</v>
      </c>
      <c r="D41" s="74" t="s">
        <v>1043</v>
      </c>
      <c r="E41" s="23" t="s">
        <v>26</v>
      </c>
    </row>
    <row r="42">
      <c r="B42" s="72" t="s">
        <v>937</v>
      </c>
      <c r="C42" s="73" t="s">
        <v>35</v>
      </c>
      <c r="D42" s="74" t="s">
        <v>410</v>
      </c>
      <c r="E42" s="66" t="str">
        <f>HYPERLINK("https://youtu.be/d_WLp0MAO8Q","channel 2")</f>
        <v>channel 2</v>
      </c>
    </row>
    <row r="43">
      <c r="B43" s="72" t="s">
        <v>1474</v>
      </c>
      <c r="C43" s="73" t="s">
        <v>10</v>
      </c>
      <c r="D43" s="74" t="s">
        <v>1043</v>
      </c>
      <c r="E43" s="23" t="s">
        <v>26</v>
      </c>
    </row>
    <row r="44">
      <c r="B44" s="72" t="s">
        <v>1473</v>
      </c>
      <c r="C44" s="73" t="s">
        <v>108</v>
      </c>
      <c r="D44" s="74" t="s">
        <v>410</v>
      </c>
      <c r="E44" s="66" t="str">
        <f>HYPERLINK("https://youtu.be/992y0PMOAbY","channel 2")</f>
        <v>channel 2</v>
      </c>
    </row>
    <row r="45">
      <c r="B45" s="57"/>
      <c r="E45" s="92"/>
    </row>
    <row r="46">
      <c r="B46" s="93"/>
      <c r="C46" s="94"/>
      <c r="D46" s="93"/>
      <c r="E46" s="93"/>
    </row>
    <row r="47">
      <c r="B47" s="45"/>
      <c r="C47" s="95"/>
      <c r="D47" s="45"/>
      <c r="E47" s="92"/>
    </row>
    <row r="48">
      <c r="B48" s="45"/>
      <c r="C48" s="95"/>
      <c r="D48" s="45"/>
      <c r="E48" s="92"/>
    </row>
    <row r="49">
      <c r="B49" s="45"/>
      <c r="C49" s="95"/>
      <c r="D49" s="45"/>
      <c r="E49" s="92"/>
    </row>
    <row r="50">
      <c r="B50" s="45"/>
      <c r="C50" s="95"/>
      <c r="D50" s="45"/>
      <c r="E50" s="92"/>
    </row>
    <row r="51">
      <c r="B51" s="45"/>
      <c r="C51" s="95"/>
      <c r="D51" s="45"/>
      <c r="E51" s="92"/>
    </row>
    <row r="52">
      <c r="B52" s="45"/>
      <c r="C52" s="95"/>
      <c r="D52" s="45"/>
      <c r="E52" s="92"/>
    </row>
    <row r="53">
      <c r="B53" s="45"/>
      <c r="C53" s="95"/>
      <c r="D53" s="45"/>
      <c r="E53" s="92"/>
    </row>
    <row r="54">
      <c r="B54" s="45"/>
      <c r="C54" s="95"/>
      <c r="D54" s="45"/>
      <c r="E54" s="92"/>
    </row>
    <row r="55">
      <c r="B55" s="45"/>
      <c r="C55" s="95"/>
      <c r="D55" s="45"/>
      <c r="E55" s="92"/>
    </row>
    <row r="56">
      <c r="B56" s="45"/>
      <c r="C56" s="95"/>
      <c r="D56" s="45"/>
      <c r="E56" s="92"/>
    </row>
    <row r="57">
      <c r="B57" s="45"/>
      <c r="C57" s="95"/>
      <c r="D57" s="45"/>
      <c r="E57" s="92"/>
    </row>
    <row r="58">
      <c r="B58" s="45"/>
      <c r="C58" s="95"/>
      <c r="D58" s="45"/>
      <c r="E58" s="92"/>
    </row>
    <row r="59">
      <c r="B59" s="45"/>
      <c r="C59" s="95"/>
      <c r="D59" s="45"/>
      <c r="E59" s="92"/>
    </row>
    <row r="60">
      <c r="B60" s="45"/>
      <c r="C60" s="95"/>
      <c r="D60" s="45"/>
      <c r="E60" s="92"/>
    </row>
    <row r="61">
      <c r="B61" s="45"/>
      <c r="C61" s="95"/>
      <c r="D61" s="45"/>
      <c r="E61" s="92"/>
    </row>
    <row r="62">
      <c r="B62" s="45"/>
      <c r="C62" s="95"/>
      <c r="D62" s="45"/>
      <c r="E62" s="92"/>
    </row>
    <row r="63">
      <c r="B63" s="45"/>
      <c r="C63" s="95"/>
      <c r="D63" s="45"/>
      <c r="E63" s="92"/>
    </row>
    <row r="64">
      <c r="B64" s="45"/>
      <c r="C64" s="95"/>
      <c r="D64" s="45"/>
      <c r="E64" s="92"/>
    </row>
    <row r="65">
      <c r="B65" s="45"/>
      <c r="C65" s="95"/>
      <c r="D65" s="45"/>
      <c r="E65" s="92"/>
    </row>
    <row r="66">
      <c r="B66" s="45"/>
      <c r="C66" s="95"/>
      <c r="D66" s="45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45"/>
      <c r="C69" s="95"/>
      <c r="D69" s="45"/>
      <c r="E69" s="92"/>
    </row>
    <row r="70">
      <c r="B70" s="45"/>
      <c r="C70" s="95"/>
      <c r="D70" s="45"/>
      <c r="E70" s="92"/>
    </row>
    <row r="71">
      <c r="B71" s="45"/>
      <c r="C71" s="95"/>
      <c r="D71" s="45"/>
      <c r="E71" s="92"/>
    </row>
    <row r="72">
      <c r="B72" s="45"/>
      <c r="C72" s="95"/>
      <c r="D72" s="45"/>
      <c r="E72" s="92"/>
    </row>
    <row r="73">
      <c r="B73" s="45"/>
      <c r="C73" s="95"/>
      <c r="D73" s="45"/>
      <c r="E73" s="92"/>
    </row>
    <row r="74">
      <c r="B74" s="45"/>
      <c r="C74" s="95"/>
      <c r="D74" s="45"/>
      <c r="E74" s="92"/>
    </row>
    <row r="75">
      <c r="B75" s="45"/>
      <c r="C75" s="95"/>
      <c r="D75" s="45"/>
      <c r="E75" s="92"/>
    </row>
    <row r="76">
      <c r="B76" s="45"/>
      <c r="C76" s="95"/>
      <c r="D76" s="45"/>
      <c r="E76" s="92"/>
    </row>
    <row r="77">
      <c r="B77" s="45"/>
      <c r="C77" s="95"/>
      <c r="D77" s="45"/>
      <c r="E77" s="92"/>
    </row>
    <row r="78">
      <c r="B78" s="45"/>
      <c r="C78" s="95"/>
      <c r="D78" s="45"/>
      <c r="E78" s="92"/>
    </row>
    <row r="79">
      <c r="B79" s="45"/>
      <c r="C79" s="95"/>
      <c r="D79" s="45"/>
      <c r="E79" s="92"/>
    </row>
    <row r="80">
      <c r="B80" s="45"/>
      <c r="C80" s="95"/>
      <c r="D80" s="45"/>
      <c r="E80" s="92"/>
    </row>
    <row r="81">
      <c r="B81" s="45"/>
      <c r="C81" s="95"/>
      <c r="D81" s="45"/>
      <c r="E81" s="92"/>
    </row>
    <row r="82">
      <c r="B82" s="45"/>
      <c r="C82" s="95"/>
      <c r="D82" s="45"/>
      <c r="E82" s="92"/>
    </row>
    <row r="83">
      <c r="B83" s="45"/>
      <c r="C83" s="95"/>
      <c r="D83" s="45"/>
      <c r="E83" s="92"/>
    </row>
    <row r="84">
      <c r="B84" s="45"/>
      <c r="C84" s="95"/>
      <c r="D84" s="45"/>
      <c r="E84" s="92"/>
    </row>
    <row r="85">
      <c r="B85" s="45"/>
      <c r="C85" s="95"/>
      <c r="D85" s="45"/>
      <c r="E85" s="92"/>
    </row>
    <row r="86">
      <c r="B86" s="45"/>
      <c r="C86" s="95"/>
      <c r="D86" s="45"/>
      <c r="E86" s="92"/>
    </row>
    <row r="87">
      <c r="B87" s="45"/>
      <c r="C87" s="96"/>
      <c r="D87" s="45"/>
      <c r="E87" s="92"/>
    </row>
    <row r="88">
      <c r="B88" s="45"/>
      <c r="C88" s="96"/>
      <c r="D88" s="45"/>
      <c r="E88" s="92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1182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9" t="s">
        <v>1475</v>
      </c>
      <c r="C3" s="73" t="s">
        <v>97</v>
      </c>
      <c r="D3" s="86" t="s">
        <v>1476</v>
      </c>
      <c r="E3" s="13" t="str">
        <f>HYPERLINK("https://youtu.be/VNGRnLpVmew","channel 1")</f>
        <v>channel 1</v>
      </c>
    </row>
    <row r="4">
      <c r="B4" s="79" t="s">
        <v>1477</v>
      </c>
      <c r="C4" s="73" t="s">
        <v>211</v>
      </c>
      <c r="D4" s="86" t="s">
        <v>1478</v>
      </c>
      <c r="E4" s="66" t="str">
        <f>HYPERLINK("https://youtu.be/ZmNeUSvPQW8","channel 2")</f>
        <v>channel 2</v>
      </c>
    </row>
    <row r="5">
      <c r="B5" s="79" t="s">
        <v>1479</v>
      </c>
      <c r="C5" s="73" t="s">
        <v>103</v>
      </c>
      <c r="D5" s="86" t="s">
        <v>1475</v>
      </c>
      <c r="E5" s="13" t="str">
        <f>HYPERLINK("https://youtu.be/L4EDJGuLyL4","channel 1")</f>
        <v>channel 1</v>
      </c>
    </row>
    <row r="6">
      <c r="B6" s="79" t="s">
        <v>1477</v>
      </c>
      <c r="C6" s="73" t="s">
        <v>55</v>
      </c>
      <c r="D6" s="86" t="s">
        <v>1476</v>
      </c>
      <c r="E6" s="66" t="str">
        <f>HYPERLINK("https://youtu.be/JP4vYKRK5yU","channel 2")</f>
        <v>channel 2</v>
      </c>
    </row>
    <row r="7">
      <c r="B7" s="79" t="s">
        <v>1479</v>
      </c>
      <c r="C7" s="73" t="s">
        <v>460</v>
      </c>
      <c r="D7" s="86" t="s">
        <v>1478</v>
      </c>
      <c r="E7" s="13" t="str">
        <f>HYPERLINK("https://youtu.be/nXgrxyBxS7c","channel 1")</f>
        <v>channel 1</v>
      </c>
    </row>
    <row r="8">
      <c r="B8" s="79" t="s">
        <v>1477</v>
      </c>
      <c r="C8" s="73" t="s">
        <v>61</v>
      </c>
      <c r="D8" s="86" t="s">
        <v>1475</v>
      </c>
      <c r="E8" s="66" t="str">
        <f>HYPERLINK("https://youtu.be/KiGOUlBws1w","channel 2")</f>
        <v>channel 2</v>
      </c>
    </row>
    <row r="9">
      <c r="B9" s="79" t="s">
        <v>1479</v>
      </c>
      <c r="C9" s="73" t="s">
        <v>44</v>
      </c>
      <c r="D9" s="86" t="s">
        <v>1476</v>
      </c>
      <c r="E9" s="13" t="str">
        <f>HYPERLINK("https://youtu.be/XgUyPKMXYFk","channel 1")</f>
        <v>channel 1</v>
      </c>
    </row>
    <row r="10">
      <c r="B10" s="79" t="s">
        <v>1478</v>
      </c>
      <c r="C10" s="73" t="s">
        <v>339</v>
      </c>
      <c r="D10" s="86" t="s">
        <v>1475</v>
      </c>
      <c r="E10" s="66" t="str">
        <f>HYPERLINK("https://youtu.be/kIXmtS0wn-U","channel 2")</f>
        <v>channel 2</v>
      </c>
    </row>
    <row r="11">
      <c r="B11" s="79" t="s">
        <v>1479</v>
      </c>
      <c r="C11" s="73" t="s">
        <v>99</v>
      </c>
      <c r="D11" s="86" t="s">
        <v>1477</v>
      </c>
      <c r="E11" s="13" t="str">
        <f>HYPERLINK("https://youtu.be/RAab7Q8mivM","channel 1")</f>
        <v>channel 1</v>
      </c>
    </row>
    <row r="12">
      <c r="B12" s="79" t="s">
        <v>1478</v>
      </c>
      <c r="C12" s="73" t="s">
        <v>104</v>
      </c>
      <c r="D12" s="86" t="s">
        <v>1476</v>
      </c>
      <c r="E12" s="66" t="str">
        <f>HYPERLINK("https://youtu.be/p7J4xGcIp6Y","channel 2")</f>
        <v>channel 2</v>
      </c>
    </row>
    <row r="13">
      <c r="B13" s="79" t="s">
        <v>1476</v>
      </c>
      <c r="C13" s="73" t="s">
        <v>133</v>
      </c>
      <c r="D13" s="86" t="s">
        <v>1475</v>
      </c>
      <c r="E13" s="13" t="str">
        <f>HYPERLINK("https://youtu.be/l6gcnYxFXsg","channel 1")</f>
        <v>channel 1</v>
      </c>
    </row>
    <row r="14">
      <c r="B14" s="79" t="s">
        <v>1478</v>
      </c>
      <c r="C14" s="73" t="s">
        <v>193</v>
      </c>
      <c r="D14" s="86" t="s">
        <v>1477</v>
      </c>
      <c r="E14" s="66" t="str">
        <f>HYPERLINK("https://youtu.be/NxcwEFeQurw","channel 2")</f>
        <v>channel 2</v>
      </c>
    </row>
    <row r="15">
      <c r="B15" s="79" t="s">
        <v>1475</v>
      </c>
      <c r="C15" s="73" t="s">
        <v>213</v>
      </c>
      <c r="D15" s="86" t="s">
        <v>1479</v>
      </c>
      <c r="E15" s="13" t="str">
        <f>HYPERLINK("https://youtu.be/BoAUckI7vGs","channel 1")</f>
        <v>channel 1</v>
      </c>
    </row>
    <row r="16">
      <c r="B16" s="79" t="s">
        <v>1476</v>
      </c>
      <c r="C16" s="73" t="s">
        <v>37</v>
      </c>
      <c r="D16" s="86" t="s">
        <v>1477</v>
      </c>
      <c r="E16" s="66" t="str">
        <f>HYPERLINK("https://youtu.be/G89yt7VqBC4","channel 2")</f>
        <v>channel 2</v>
      </c>
    </row>
    <row r="17">
      <c r="B17" s="79" t="s">
        <v>1478</v>
      </c>
      <c r="C17" s="73" t="s">
        <v>138</v>
      </c>
      <c r="D17" s="86" t="s">
        <v>1479</v>
      </c>
      <c r="E17" s="13" t="str">
        <f>HYPERLINK("https://youtu.be/OjQZwio3FaU","channel 1")</f>
        <v>channel 1</v>
      </c>
    </row>
    <row r="18">
      <c r="B18" s="79" t="s">
        <v>1475</v>
      </c>
      <c r="C18" s="73" t="s">
        <v>32</v>
      </c>
      <c r="D18" s="86" t="s">
        <v>1477</v>
      </c>
      <c r="E18" s="66" t="str">
        <f>HYPERLINK("https://youtu.be/ItcgAkwvF4k","channel 2")</f>
        <v>channel 2</v>
      </c>
    </row>
    <row r="19">
      <c r="B19" s="79" t="s">
        <v>1476</v>
      </c>
      <c r="C19" s="73" t="s">
        <v>337</v>
      </c>
      <c r="D19" s="86" t="s">
        <v>1479</v>
      </c>
      <c r="E19" s="13" t="str">
        <f>HYPERLINK("https://youtu.be/Od7WWBXYVks","channel 1")</f>
        <v>channel 1</v>
      </c>
    </row>
    <row r="20">
      <c r="B20" s="79" t="s">
        <v>1475</v>
      </c>
      <c r="C20" s="73" t="s">
        <v>311</v>
      </c>
      <c r="D20" s="86" t="s">
        <v>1478</v>
      </c>
      <c r="E20" s="66" t="str">
        <f>HYPERLINK("https://youtu.be/zbs8jU_8g1E","channel 2")</f>
        <v>channel 2</v>
      </c>
    </row>
    <row r="21">
      <c r="B21" s="79" t="s">
        <v>1477</v>
      </c>
      <c r="C21" s="73" t="s">
        <v>538</v>
      </c>
      <c r="D21" s="86" t="s">
        <v>1479</v>
      </c>
      <c r="E21" s="13" t="str">
        <f>HYPERLINK("https://youtu.be/Yodw9igI5Z4","channel 1")</f>
        <v>channel 1</v>
      </c>
    </row>
    <row r="22">
      <c r="B22" s="79" t="s">
        <v>1476</v>
      </c>
      <c r="C22" s="73" t="s">
        <v>99</v>
      </c>
      <c r="D22" s="86" t="s">
        <v>1478</v>
      </c>
      <c r="E22" s="66" t="str">
        <f>HYPERLINK("https://youtu.be/vZQz7bum3Lk","channel 2")</f>
        <v>channel 2</v>
      </c>
    </row>
    <row r="23">
      <c r="B23" s="58" t="s">
        <v>64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9" t="s">
        <v>1480</v>
      </c>
      <c r="C25" s="73" t="s">
        <v>160</v>
      </c>
      <c r="D25" s="86" t="s">
        <v>1383</v>
      </c>
      <c r="E25" s="13" t="str">
        <f>HYPERLINK("https://youtu.be/Zx5eCiXEYy4","channel 1")</f>
        <v>channel 1</v>
      </c>
    </row>
    <row r="26">
      <c r="B26" s="79" t="s">
        <v>1481</v>
      </c>
      <c r="C26" s="73" t="s">
        <v>191</v>
      </c>
      <c r="D26" s="86" t="s">
        <v>1094</v>
      </c>
      <c r="E26" s="66" t="str">
        <f>HYPERLINK("https://youtu.be/8w0E7SlK77A","channel 2")</f>
        <v>channel 2</v>
      </c>
    </row>
    <row r="27">
      <c r="B27" s="79" t="s">
        <v>963</v>
      </c>
      <c r="C27" s="73" t="s">
        <v>93</v>
      </c>
      <c r="D27" s="86" t="s">
        <v>1480</v>
      </c>
      <c r="E27" s="13" t="str">
        <f>HYPERLINK("https://youtu.be/_e2hmrcRzY0","channel 1")</f>
        <v>channel 1</v>
      </c>
    </row>
    <row r="28">
      <c r="B28" s="79" t="s">
        <v>1481</v>
      </c>
      <c r="C28" s="73" t="s">
        <v>725</v>
      </c>
      <c r="D28" s="86" t="s">
        <v>1383</v>
      </c>
      <c r="E28" s="66" t="str">
        <f>HYPERLINK("https://youtu.be/ZiS1FqHFzqc","channel 2")</f>
        <v>channel 2</v>
      </c>
    </row>
    <row r="29">
      <c r="B29" s="79" t="s">
        <v>963</v>
      </c>
      <c r="C29" s="73" t="s">
        <v>350</v>
      </c>
      <c r="D29" s="86" t="s">
        <v>1094</v>
      </c>
      <c r="E29" s="13" t="str">
        <f>HYPERLINK("https://youtu.be/pTohNMAgA7I","channel 1")</f>
        <v>channel 1</v>
      </c>
    </row>
    <row r="30">
      <c r="B30" s="79" t="s">
        <v>1481</v>
      </c>
      <c r="C30" s="73" t="s">
        <v>304</v>
      </c>
      <c r="D30" s="86" t="s">
        <v>1480</v>
      </c>
      <c r="E30" s="66" t="str">
        <f>HYPERLINK("https://youtu.be/gBPxuuGQf1E","channel 2")</f>
        <v>channel 2</v>
      </c>
    </row>
    <row r="31">
      <c r="B31" s="79" t="s">
        <v>963</v>
      </c>
      <c r="C31" s="73" t="s">
        <v>103</v>
      </c>
      <c r="D31" s="86" t="s">
        <v>1383</v>
      </c>
      <c r="E31" s="13" t="str">
        <f>HYPERLINK("https://youtu.be/tKTOI0MHUuM","channel 1")</f>
        <v>channel 1</v>
      </c>
    </row>
    <row r="32">
      <c r="B32" s="79" t="s">
        <v>1094</v>
      </c>
      <c r="C32" s="73" t="s">
        <v>43</v>
      </c>
      <c r="D32" s="86" t="s">
        <v>1480</v>
      </c>
      <c r="E32" s="66" t="str">
        <f>HYPERLINK("https://youtu.be/u1DwIGHYbMQ","channel 2")</f>
        <v>channel 2</v>
      </c>
    </row>
    <row r="33">
      <c r="B33" s="79" t="s">
        <v>963</v>
      </c>
      <c r="C33" s="73" t="s">
        <v>87</v>
      </c>
      <c r="D33" s="86" t="s">
        <v>1481</v>
      </c>
      <c r="E33" s="13" t="str">
        <f>HYPERLINK("https://youtu.be/DyK8s8iAng8","channel 1")</f>
        <v>channel 1</v>
      </c>
    </row>
    <row r="34">
      <c r="B34" s="79" t="s">
        <v>1094</v>
      </c>
      <c r="C34" s="73" t="s">
        <v>54</v>
      </c>
      <c r="D34" s="86" t="s">
        <v>1383</v>
      </c>
      <c r="E34" s="66" t="str">
        <f>HYPERLINK("https://youtu.be/jDzTIIrdTM8","channel 2")</f>
        <v>channel 2</v>
      </c>
    </row>
    <row r="35">
      <c r="B35" s="79" t="s">
        <v>1383</v>
      </c>
      <c r="C35" s="73" t="s">
        <v>88</v>
      </c>
      <c r="D35" s="86" t="s">
        <v>1480</v>
      </c>
      <c r="E35" s="13" t="str">
        <f>HYPERLINK("https://youtu.be/hz32gxeXX_I","channel 1")</f>
        <v>channel 1</v>
      </c>
    </row>
    <row r="36">
      <c r="B36" s="79" t="s">
        <v>1094</v>
      </c>
      <c r="C36" s="73" t="s">
        <v>922</v>
      </c>
      <c r="D36" s="86" t="s">
        <v>1481</v>
      </c>
      <c r="E36" s="66" t="str">
        <f>HYPERLINK("https://youtu.be/HFAIIRVb0W4","channel 2")</f>
        <v>channel 2</v>
      </c>
    </row>
    <row r="37">
      <c r="B37" s="79" t="s">
        <v>1480</v>
      </c>
      <c r="C37" s="73" t="s">
        <v>610</v>
      </c>
      <c r="D37" s="86" t="s">
        <v>963</v>
      </c>
      <c r="E37" s="13" t="str">
        <f>HYPERLINK("https://youtu.be/ztPnGaWCeu8","channel 1")</f>
        <v>channel 1</v>
      </c>
    </row>
    <row r="38">
      <c r="B38" s="79" t="s">
        <v>1383</v>
      </c>
      <c r="C38" s="73" t="s">
        <v>316</v>
      </c>
      <c r="D38" s="86" t="s">
        <v>1481</v>
      </c>
      <c r="E38" s="66" t="str">
        <f>HYPERLINK("https://youtu.be/8TNvMSXH-0s","channel 2")</f>
        <v>channel 2</v>
      </c>
    </row>
    <row r="39">
      <c r="B39" s="79" t="s">
        <v>1094</v>
      </c>
      <c r="C39" s="73" t="s">
        <v>103</v>
      </c>
      <c r="D39" s="86" t="s">
        <v>963</v>
      </c>
      <c r="E39" s="13" t="str">
        <f>HYPERLINK("https://youtu.be/wJjuYQ5fZmg","channel 1")</f>
        <v>channel 1</v>
      </c>
    </row>
    <row r="40">
      <c r="B40" s="79" t="s">
        <v>1480</v>
      </c>
      <c r="C40" s="73" t="s">
        <v>214</v>
      </c>
      <c r="D40" s="86" t="s">
        <v>1481</v>
      </c>
      <c r="E40" s="66" t="str">
        <f>HYPERLINK("https://youtu.be/tIheh5hNrg8","channel 2")</f>
        <v>channel 2</v>
      </c>
    </row>
    <row r="41">
      <c r="B41" s="79" t="s">
        <v>1383</v>
      </c>
      <c r="C41" s="73" t="s">
        <v>103</v>
      </c>
      <c r="D41" s="86" t="s">
        <v>963</v>
      </c>
      <c r="E41" s="13" t="str">
        <f>HYPERLINK("https://youtu.be/iUT3dH4MhRQ","channel 1")</f>
        <v>channel 1</v>
      </c>
    </row>
    <row r="42">
      <c r="B42" s="79" t="s">
        <v>1480</v>
      </c>
      <c r="C42" s="73" t="s">
        <v>1203</v>
      </c>
      <c r="D42" s="86" t="s">
        <v>1094</v>
      </c>
      <c r="E42" s="66" t="str">
        <f>HYPERLINK("https://youtu.be/EjdDHsl2FRY","channel 2")</f>
        <v>channel 2</v>
      </c>
    </row>
    <row r="43">
      <c r="B43" s="79" t="s">
        <v>1481</v>
      </c>
      <c r="C43" s="73" t="s">
        <v>44</v>
      </c>
      <c r="D43" s="86" t="s">
        <v>963</v>
      </c>
      <c r="E43" s="13" t="str">
        <f>HYPERLINK("https://youtu.be/h9OabT96few","channel 1")</f>
        <v>channel 1</v>
      </c>
    </row>
    <row r="44">
      <c r="B44" s="79" t="s">
        <v>1383</v>
      </c>
      <c r="C44" s="73" t="s">
        <v>135</v>
      </c>
      <c r="D44" s="86" t="s">
        <v>1094</v>
      </c>
      <c r="E44" s="66" t="str">
        <f>HYPERLINK("https://youtu.be/qnTD514fg1o","channel 2")</f>
        <v>channel 2</v>
      </c>
    </row>
    <row r="45">
      <c r="B45" s="77" t="s">
        <v>597</v>
      </c>
      <c r="C45" s="59"/>
      <c r="D45" s="60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9" t="s">
        <v>1406</v>
      </c>
      <c r="C47" s="73" t="s">
        <v>216</v>
      </c>
      <c r="D47" s="86" t="s">
        <v>1484</v>
      </c>
      <c r="E47" s="13" t="str">
        <f>HYPERLINK("https://youtu.be/70DHM9m7_A4","channel 1")</f>
        <v>channel 1</v>
      </c>
    </row>
    <row r="48">
      <c r="B48" s="79" t="s">
        <v>1161</v>
      </c>
      <c r="C48" s="73" t="s">
        <v>571</v>
      </c>
      <c r="D48" s="86" t="s">
        <v>1215</v>
      </c>
      <c r="E48" s="66" t="str">
        <f>HYPERLINK("https://youtu.be/FcR_qY_sc_M","channel 2")</f>
        <v>channel 2</v>
      </c>
    </row>
    <row r="49">
      <c r="B49" s="79" t="s">
        <v>1485</v>
      </c>
      <c r="C49" s="73" t="s">
        <v>84</v>
      </c>
      <c r="D49" s="86" t="s">
        <v>1406</v>
      </c>
      <c r="E49" s="13" t="str">
        <f>HYPERLINK("https://youtu.be/BruErxkx8mc","channel 1")</f>
        <v>channel 1</v>
      </c>
    </row>
    <row r="50">
      <c r="B50" s="79" t="s">
        <v>1161</v>
      </c>
      <c r="C50" s="73" t="s">
        <v>132</v>
      </c>
      <c r="D50" s="86" t="s">
        <v>1484</v>
      </c>
      <c r="E50" s="66" t="str">
        <f>HYPERLINK("https://youtu.be/iNKNfd_zk8s","channel 2")</f>
        <v>channel 2</v>
      </c>
    </row>
    <row r="51">
      <c r="B51" s="79" t="s">
        <v>1485</v>
      </c>
      <c r="C51" s="73" t="s">
        <v>97</v>
      </c>
      <c r="D51" s="86" t="s">
        <v>1215</v>
      </c>
      <c r="E51" s="13" t="str">
        <f>HYPERLINK("https://youtu.be/wIbExnPD0NQ","channel 1")</f>
        <v>channel 1</v>
      </c>
    </row>
    <row r="52">
      <c r="B52" s="79" t="s">
        <v>1161</v>
      </c>
      <c r="C52" s="73" t="s">
        <v>124</v>
      </c>
      <c r="D52" s="86" t="s">
        <v>1406</v>
      </c>
      <c r="E52" s="66" t="str">
        <f>HYPERLINK("https://youtu.be/kwOeOw8g-DQ","channel 2")</f>
        <v>channel 2</v>
      </c>
    </row>
    <row r="53">
      <c r="B53" s="79" t="s">
        <v>1485</v>
      </c>
      <c r="C53" s="73" t="s">
        <v>97</v>
      </c>
      <c r="D53" s="86" t="s">
        <v>1484</v>
      </c>
      <c r="E53" s="13" t="str">
        <f>HYPERLINK("https://youtu.be/aOVFjKM5TzM","channel 1")</f>
        <v>channel 1</v>
      </c>
    </row>
    <row r="54">
      <c r="B54" s="79" t="s">
        <v>1215</v>
      </c>
      <c r="C54" s="73" t="s">
        <v>145</v>
      </c>
      <c r="D54" s="86" t="s">
        <v>1406</v>
      </c>
      <c r="E54" s="66" t="str">
        <f>HYPERLINK("https://youtu.be/fO41_YAQspY","channel 2")</f>
        <v>channel 2</v>
      </c>
    </row>
    <row r="55">
      <c r="B55" s="79" t="s">
        <v>1485</v>
      </c>
      <c r="C55" s="73" t="s">
        <v>343</v>
      </c>
      <c r="D55" s="86" t="s">
        <v>1161</v>
      </c>
      <c r="E55" s="13" t="str">
        <f>HYPERLINK("https://youtu.be/VDCD73BT2oc","channel 1")</f>
        <v>channel 1</v>
      </c>
    </row>
    <row r="56">
      <c r="B56" s="79" t="s">
        <v>1215</v>
      </c>
      <c r="C56" s="73" t="s">
        <v>393</v>
      </c>
      <c r="D56" s="86" t="s">
        <v>1484</v>
      </c>
      <c r="E56" s="66" t="str">
        <f>HYPERLINK("https://youtu.be/RRSr4ksoWHg","channel 2")</f>
        <v>channel 2</v>
      </c>
    </row>
    <row r="57">
      <c r="B57" s="79" t="s">
        <v>1484</v>
      </c>
      <c r="C57" s="73" t="s">
        <v>145</v>
      </c>
      <c r="D57" s="86" t="s">
        <v>1406</v>
      </c>
      <c r="E57" s="13" t="str">
        <f>HYPERLINK("https://youtu.be/QF09YFG7qWE","channel 1")</f>
        <v>channel 1</v>
      </c>
    </row>
    <row r="58">
      <c r="B58" s="79" t="s">
        <v>1215</v>
      </c>
      <c r="C58" s="73" t="s">
        <v>132</v>
      </c>
      <c r="D58" s="86" t="s">
        <v>1161</v>
      </c>
      <c r="E58" s="66" t="str">
        <f>HYPERLINK("https://youtu.be/9fZEb4-zsfI","channel 2")</f>
        <v>channel 2</v>
      </c>
    </row>
    <row r="59">
      <c r="B59" s="79" t="s">
        <v>1406</v>
      </c>
      <c r="C59" s="73" t="s">
        <v>538</v>
      </c>
      <c r="D59" s="86" t="s">
        <v>1485</v>
      </c>
      <c r="E59" s="13" t="str">
        <f>HYPERLINK("https://youtu.be/DNYceGWXfqQ","channel 1")</f>
        <v>channel 1</v>
      </c>
    </row>
    <row r="60">
      <c r="B60" s="79" t="s">
        <v>1484</v>
      </c>
      <c r="C60" s="73" t="s">
        <v>24</v>
      </c>
      <c r="D60" s="86" t="s">
        <v>1161</v>
      </c>
      <c r="E60" s="66" t="str">
        <f>HYPERLINK("https://youtu.be/-wG7SRYReTw","channel 2")</f>
        <v>channel 2</v>
      </c>
    </row>
    <row r="61">
      <c r="B61" s="79" t="s">
        <v>1215</v>
      </c>
      <c r="C61" s="73" t="s">
        <v>30</v>
      </c>
      <c r="D61" s="86" t="s">
        <v>1485</v>
      </c>
      <c r="E61" s="13" t="str">
        <f>HYPERLINK("https://youtu.be/scN-uICKfl8","channel 1")</f>
        <v>channel 1</v>
      </c>
    </row>
    <row r="62">
      <c r="B62" s="79" t="s">
        <v>1406</v>
      </c>
      <c r="C62" s="73" t="s">
        <v>11</v>
      </c>
      <c r="D62" s="86" t="s">
        <v>1161</v>
      </c>
      <c r="E62" s="66" t="str">
        <f>HYPERLINK("https://youtu.be/8apJyZLXwDY","channel 2")</f>
        <v>channel 2</v>
      </c>
    </row>
    <row r="63">
      <c r="B63" s="79" t="s">
        <v>1484</v>
      </c>
      <c r="C63" s="73" t="s">
        <v>10</v>
      </c>
      <c r="D63" s="86" t="s">
        <v>1485</v>
      </c>
      <c r="E63" s="13" t="str">
        <f>HYPERLINK("https://youtu.be/oQFa4c5QtFo","channel 1")</f>
        <v>channel 1</v>
      </c>
    </row>
    <row r="64">
      <c r="B64" s="79" t="s">
        <v>1406</v>
      </c>
      <c r="C64" s="73" t="s">
        <v>180</v>
      </c>
      <c r="D64" s="86" t="s">
        <v>1215</v>
      </c>
      <c r="E64" s="66" t="str">
        <f>HYPERLINK("https://youtu.be/toE5xSCfDF4","channel 2")</f>
        <v>channel 2</v>
      </c>
    </row>
    <row r="65">
      <c r="B65" s="79" t="s">
        <v>1161</v>
      </c>
      <c r="C65" s="73" t="s">
        <v>138</v>
      </c>
      <c r="D65" s="86" t="s">
        <v>1485</v>
      </c>
      <c r="E65" s="13" t="str">
        <f>HYPERLINK("https://youtu.be/HL6kK8u2_VQ","channel 1")</f>
        <v>channel 1</v>
      </c>
    </row>
    <row r="66">
      <c r="B66" s="79" t="s">
        <v>1484</v>
      </c>
      <c r="C66" s="73" t="s">
        <v>1487</v>
      </c>
      <c r="D66" s="86" t="s">
        <v>1215</v>
      </c>
      <c r="E66" s="66" t="str">
        <f>HYPERLINK("https://youtu.be/0TqA9I4JFxo","channel 2")</f>
        <v>channel 2</v>
      </c>
    </row>
    <row r="67">
      <c r="B67" s="77" t="s">
        <v>1425</v>
      </c>
      <c r="C67" s="59"/>
      <c r="D67" s="60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9" t="s">
        <v>1488</v>
      </c>
      <c r="C69" s="73" t="s">
        <v>111</v>
      </c>
      <c r="D69" s="86" t="s">
        <v>1489</v>
      </c>
      <c r="E69" s="13" t="str">
        <f>HYPERLINK("https://youtu.be/ttwhr4j_dBU","channel 1")</f>
        <v>channel 1</v>
      </c>
    </row>
    <row r="70">
      <c r="B70" s="79" t="s">
        <v>1368</v>
      </c>
      <c r="C70" s="73" t="s">
        <v>104</v>
      </c>
      <c r="D70" s="86" t="s">
        <v>1490</v>
      </c>
      <c r="E70" s="66" t="str">
        <f>HYPERLINK("https://youtu.be/3_3Cpi5ejGU","channel 2")</f>
        <v>channel 2</v>
      </c>
    </row>
    <row r="71">
      <c r="B71" s="79" t="s">
        <v>1491</v>
      </c>
      <c r="C71" s="73" t="s">
        <v>145</v>
      </c>
      <c r="D71" s="86" t="s">
        <v>1488</v>
      </c>
      <c r="E71" s="13" t="str">
        <f>HYPERLINK("https://youtu.be/0PFx-BaplxY","channel 1")</f>
        <v>channel 1</v>
      </c>
    </row>
    <row r="72">
      <c r="B72" s="79" t="s">
        <v>1368</v>
      </c>
      <c r="C72" s="73" t="s">
        <v>141</v>
      </c>
      <c r="D72" s="86" t="s">
        <v>1489</v>
      </c>
      <c r="E72" s="66" t="str">
        <f>HYPERLINK("https://youtu.be/-ZSP8A1M4MY","channel 2")</f>
        <v>channel 2</v>
      </c>
    </row>
    <row r="73">
      <c r="B73" s="79" t="s">
        <v>1491</v>
      </c>
      <c r="C73" s="73" t="s">
        <v>32</v>
      </c>
      <c r="D73" s="86" t="s">
        <v>1490</v>
      </c>
      <c r="E73" s="13" t="str">
        <f>HYPERLINK("https://youtu.be/UTycE-A-6E0","channel 1")</f>
        <v>channel 1</v>
      </c>
    </row>
    <row r="74">
      <c r="B74" s="79" t="s">
        <v>1368</v>
      </c>
      <c r="C74" s="73" t="s">
        <v>47</v>
      </c>
      <c r="D74" s="86" t="s">
        <v>1488</v>
      </c>
      <c r="E74" s="66" t="str">
        <f>HYPERLINK("https://youtu.be/RtMEiaBdoY8","channel 2")</f>
        <v>channel 2</v>
      </c>
    </row>
    <row r="75">
      <c r="B75" s="79" t="s">
        <v>1491</v>
      </c>
      <c r="C75" s="73" t="s">
        <v>141</v>
      </c>
      <c r="D75" s="86" t="s">
        <v>1489</v>
      </c>
      <c r="E75" s="13" t="str">
        <f>HYPERLINK("https://youtu.be/_nRHfZRyDro","channel 1")</f>
        <v>channel 1</v>
      </c>
    </row>
    <row r="76">
      <c r="B76" s="79" t="s">
        <v>1490</v>
      </c>
      <c r="C76" s="73" t="s">
        <v>630</v>
      </c>
      <c r="D76" s="86" t="s">
        <v>1488</v>
      </c>
      <c r="E76" s="66" t="str">
        <f>HYPERLINK("https://youtu.be/524RFhMEjP8","channel 2")</f>
        <v>channel 2</v>
      </c>
    </row>
    <row r="77">
      <c r="B77" s="79" t="s">
        <v>1491</v>
      </c>
      <c r="C77" s="73" t="s">
        <v>104</v>
      </c>
      <c r="D77" s="86" t="s">
        <v>1368</v>
      </c>
      <c r="E77" s="13" t="str">
        <f>HYPERLINK("https://youtu.be/U1NRjzFyr6Q","channel 1")</f>
        <v>channel 1</v>
      </c>
    </row>
    <row r="78">
      <c r="B78" s="79" t="s">
        <v>1490</v>
      </c>
      <c r="C78" s="73" t="s">
        <v>36</v>
      </c>
      <c r="D78" s="86" t="s">
        <v>1489</v>
      </c>
      <c r="E78" s="66" t="str">
        <f>HYPERLINK("https://youtu.be/IvEYOeN1F3o","channel 2")</f>
        <v>channel 2</v>
      </c>
    </row>
    <row r="79">
      <c r="B79" s="79" t="s">
        <v>1489</v>
      </c>
      <c r="C79" s="73" t="s">
        <v>47</v>
      </c>
      <c r="D79" s="86" t="s">
        <v>1488</v>
      </c>
      <c r="E79" s="13" t="str">
        <f>HYPERLINK("https://youtu.be/KiluR4c5ZuQ","channel 1")</f>
        <v>channel 1</v>
      </c>
    </row>
    <row r="80">
      <c r="B80" s="79" t="s">
        <v>1490</v>
      </c>
      <c r="C80" s="73" t="s">
        <v>34</v>
      </c>
      <c r="D80" s="86" t="s">
        <v>1368</v>
      </c>
      <c r="E80" s="66" t="str">
        <f>HYPERLINK("https://youtu.be/FpePFe75UCE","channel 2")</f>
        <v>channel 2</v>
      </c>
    </row>
    <row r="81">
      <c r="B81" s="79" t="s">
        <v>1488</v>
      </c>
      <c r="C81" s="73" t="s">
        <v>97</v>
      </c>
      <c r="D81" s="86" t="s">
        <v>1491</v>
      </c>
      <c r="E81" s="13" t="str">
        <f>HYPERLINK("https://youtu.be/j5fFaY9kydU","channel 1")</f>
        <v>channel 1</v>
      </c>
    </row>
    <row r="82">
      <c r="B82" s="79" t="s">
        <v>1489</v>
      </c>
      <c r="C82" s="73" t="s">
        <v>24</v>
      </c>
      <c r="D82" s="86" t="s">
        <v>1368</v>
      </c>
      <c r="E82" s="66" t="str">
        <f>HYPERLINK("https://youtu.be/B6SmWIUrn5o","channel 2")</f>
        <v>channel 2</v>
      </c>
    </row>
    <row r="83">
      <c r="B83" s="79" t="s">
        <v>1490</v>
      </c>
      <c r="C83" s="73" t="s">
        <v>305</v>
      </c>
      <c r="D83" s="86" t="s">
        <v>1491</v>
      </c>
      <c r="E83" s="13" t="str">
        <f>HYPERLINK("https://youtu.be/SLQKZRJ4bSk","channel 1")</f>
        <v>channel 1</v>
      </c>
    </row>
    <row r="84">
      <c r="B84" s="79" t="s">
        <v>1488</v>
      </c>
      <c r="C84" s="73" t="s">
        <v>179</v>
      </c>
      <c r="D84" s="86" t="s">
        <v>1368</v>
      </c>
      <c r="E84" s="66" t="str">
        <f>HYPERLINK("https://youtu.be/YGITqi1GYtw","channel 2")</f>
        <v>channel 2</v>
      </c>
    </row>
    <row r="85">
      <c r="B85" s="79" t="s">
        <v>1489</v>
      </c>
      <c r="C85" s="73" t="s">
        <v>109</v>
      </c>
      <c r="D85" s="86" t="s">
        <v>1491</v>
      </c>
      <c r="E85" s="13" t="str">
        <f>HYPERLINK("https://youtu.be/adi82uyYoLI","channel 1")</f>
        <v>channel 1</v>
      </c>
    </row>
    <row r="86">
      <c r="B86" s="79" t="s">
        <v>1488</v>
      </c>
      <c r="C86" s="73" t="s">
        <v>124</v>
      </c>
      <c r="D86" s="86" t="s">
        <v>1490</v>
      </c>
      <c r="E86" s="66" t="str">
        <f>HYPERLINK("https://youtu.be/wwZxZK_UsPo","channel 2")</f>
        <v>channel 2</v>
      </c>
    </row>
    <row r="87">
      <c r="B87" s="79" t="s">
        <v>1368</v>
      </c>
      <c r="C87" s="73" t="s">
        <v>145</v>
      </c>
      <c r="D87" s="86" t="s">
        <v>1491</v>
      </c>
      <c r="E87" s="13" t="str">
        <f>HYPERLINK("https://youtu.be/tKd4D1Dp7v8","channel 1")</f>
        <v>channel 1</v>
      </c>
    </row>
    <row r="88">
      <c r="B88" s="79" t="s">
        <v>1489</v>
      </c>
      <c r="C88" s="73" t="s">
        <v>61</v>
      </c>
      <c r="D88" s="86" t="s">
        <v>1490</v>
      </c>
      <c r="E88" s="66" t="str">
        <f>HYPERLINK("https://youtu.be/L3CuSNkBE5s","channel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2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699</v>
      </c>
      <c r="C3" s="73" t="s">
        <v>204</v>
      </c>
      <c r="D3" s="74" t="s">
        <v>1482</v>
      </c>
      <c r="E3" s="13" t="str">
        <f>HYPERLINK("https://youtu.be/wSIclAbOClQ","channel 1")</f>
        <v>channel 1</v>
      </c>
    </row>
    <row r="4">
      <c r="B4" s="72" t="s">
        <v>833</v>
      </c>
      <c r="C4" s="73" t="s">
        <v>193</v>
      </c>
      <c r="D4" s="74" t="s">
        <v>1483</v>
      </c>
      <c r="E4" s="66" t="str">
        <f>HYPERLINK("https://youtu.be/YvMHrymj6Lk","channel 2")</f>
        <v>channel 2</v>
      </c>
    </row>
    <row r="5">
      <c r="B5" s="72" t="s">
        <v>980</v>
      </c>
      <c r="C5" s="73" t="s">
        <v>595</v>
      </c>
      <c r="D5" s="74" t="s">
        <v>699</v>
      </c>
      <c r="E5" s="13" t="str">
        <f>HYPERLINK("https://youtu.be/AuuC5gLMjkI","channel 1")</f>
        <v>channel 1</v>
      </c>
    </row>
    <row r="6">
      <c r="B6" s="72" t="s">
        <v>833</v>
      </c>
      <c r="C6" s="73" t="s">
        <v>34</v>
      </c>
      <c r="D6" s="74" t="s">
        <v>1482</v>
      </c>
      <c r="E6" s="66" t="str">
        <f>HYPERLINK("https://youtu.be/6kwoZK4scHI","channel 2")</f>
        <v>channel 2</v>
      </c>
    </row>
    <row r="7">
      <c r="B7" s="72" t="s">
        <v>980</v>
      </c>
      <c r="C7" s="73" t="s">
        <v>108</v>
      </c>
      <c r="D7" s="74" t="s">
        <v>1483</v>
      </c>
      <c r="E7" s="13" t="str">
        <f>HYPERLINK("https://youtu.be/nrTZBwyqeM8","channel 1")</f>
        <v>channel 1</v>
      </c>
    </row>
    <row r="8">
      <c r="B8" s="72" t="s">
        <v>833</v>
      </c>
      <c r="C8" s="73" t="s">
        <v>113</v>
      </c>
      <c r="D8" s="74" t="s">
        <v>699</v>
      </c>
      <c r="E8" s="66" t="str">
        <f>HYPERLINK("https://youtu.be/at9tsAWB6DE","channel 2")</f>
        <v>channel 2</v>
      </c>
    </row>
    <row r="9">
      <c r="B9" s="72" t="s">
        <v>980</v>
      </c>
      <c r="C9" s="73" t="s">
        <v>10</v>
      </c>
      <c r="D9" s="74" t="s">
        <v>1482</v>
      </c>
      <c r="E9" s="13" t="str">
        <f>HYPERLINK("https://youtu.be/Dubu1xz6rSA","channel 1")</f>
        <v>channel 1</v>
      </c>
    </row>
    <row r="10">
      <c r="B10" s="72" t="s">
        <v>1483</v>
      </c>
      <c r="C10" s="73" t="s">
        <v>43</v>
      </c>
      <c r="D10" s="74" t="s">
        <v>699</v>
      </c>
      <c r="E10" s="66" t="str">
        <f>HYPERLINK("https://youtu.be/fvOTJwQ2kXs","channel 2")</f>
        <v>channel 2</v>
      </c>
    </row>
    <row r="11">
      <c r="B11" s="72" t="s">
        <v>980</v>
      </c>
      <c r="C11" s="73" t="s">
        <v>105</v>
      </c>
      <c r="D11" s="74" t="s">
        <v>833</v>
      </c>
      <c r="E11" s="13" t="str">
        <f>HYPERLINK("https://youtu.be/ORyen0-GM24","channel 1")</f>
        <v>channel 1</v>
      </c>
    </row>
    <row r="12">
      <c r="B12" s="72" t="s">
        <v>1483</v>
      </c>
      <c r="C12" s="73" t="s">
        <v>109</v>
      </c>
      <c r="D12" s="74" t="s">
        <v>1482</v>
      </c>
      <c r="E12" s="66" t="str">
        <f>HYPERLINK("https://youtu.be/JBaeQ5HJtf0","channel 2")</f>
        <v>channel 2</v>
      </c>
    </row>
    <row r="13">
      <c r="B13" s="72" t="s">
        <v>1482</v>
      </c>
      <c r="C13" s="73" t="s">
        <v>43</v>
      </c>
      <c r="D13" s="74" t="s">
        <v>699</v>
      </c>
      <c r="E13" s="13" t="str">
        <f>HYPERLINK("https://youtu.be/sO54qPneWOM","channel 1")</f>
        <v>channel 1</v>
      </c>
    </row>
    <row r="14">
      <c r="B14" s="72" t="s">
        <v>1483</v>
      </c>
      <c r="C14" s="73" t="s">
        <v>228</v>
      </c>
      <c r="D14" s="74" t="s">
        <v>833</v>
      </c>
      <c r="E14" s="66" t="str">
        <f>HYPERLINK("https://youtu.be/Eg1ir9Fu_VM","channel 2")</f>
        <v>channel 2</v>
      </c>
    </row>
    <row r="15">
      <c r="B15" s="72" t="s">
        <v>699</v>
      </c>
      <c r="C15" s="73" t="s">
        <v>36</v>
      </c>
      <c r="D15" s="74" t="s">
        <v>980</v>
      </c>
      <c r="E15" s="13" t="str">
        <f>HYPERLINK("https://youtu.be/CbMqL0P25fs","channel 1")</f>
        <v>channel 1</v>
      </c>
    </row>
    <row r="16">
      <c r="B16" s="72" t="s">
        <v>1482</v>
      </c>
      <c r="C16" s="73" t="s">
        <v>143</v>
      </c>
      <c r="D16" s="74" t="s">
        <v>833</v>
      </c>
      <c r="E16" s="66" t="str">
        <f>HYPERLINK("https://youtu.be/Yv-KiVSGprE","channel 2")</f>
        <v>channel 2</v>
      </c>
    </row>
    <row r="17">
      <c r="B17" s="72" t="s">
        <v>1483</v>
      </c>
      <c r="C17" s="73" t="s">
        <v>854</v>
      </c>
      <c r="D17" s="74" t="s">
        <v>980</v>
      </c>
      <c r="E17" s="13" t="str">
        <f>HYPERLINK("https://youtu.be/qr3rqgaD_sY","channel 1")</f>
        <v>channel 1</v>
      </c>
    </row>
    <row r="18">
      <c r="B18" s="72" t="s">
        <v>699</v>
      </c>
      <c r="C18" s="73" t="s">
        <v>276</v>
      </c>
      <c r="D18" s="74" t="s">
        <v>833</v>
      </c>
      <c r="E18" s="66" t="str">
        <f>HYPERLINK("https://youtu.be/4GMNOKtzk4o","channel 2")</f>
        <v>channel 2</v>
      </c>
    </row>
    <row r="19">
      <c r="B19" s="72" t="s">
        <v>1482</v>
      </c>
      <c r="C19" s="73" t="s">
        <v>135</v>
      </c>
      <c r="D19" s="74" t="s">
        <v>980</v>
      </c>
      <c r="E19" s="13" t="str">
        <f>HYPERLINK("https://youtu.be/0-bMnRxwCtQ","channel 1")</f>
        <v>channel 1</v>
      </c>
    </row>
    <row r="20">
      <c r="B20" s="72" t="s">
        <v>699</v>
      </c>
      <c r="C20" s="73" t="s">
        <v>59</v>
      </c>
      <c r="D20" s="74" t="s">
        <v>1483</v>
      </c>
      <c r="E20" s="66" t="str">
        <f>HYPERLINK("https://youtu.be/dzOCZAillz0","channel 2")</f>
        <v>channel 2</v>
      </c>
    </row>
    <row r="21">
      <c r="B21" s="72" t="s">
        <v>833</v>
      </c>
      <c r="C21" s="73" t="s">
        <v>157</v>
      </c>
      <c r="D21" s="74" t="s">
        <v>980</v>
      </c>
      <c r="E21" s="13" t="str">
        <f>HYPERLINK("https://youtu.be/biYlW-zZACE","channel 1")</f>
        <v>channel 1</v>
      </c>
    </row>
    <row r="22">
      <c r="B22" s="72" t="s">
        <v>1482</v>
      </c>
      <c r="C22" s="73" t="s">
        <v>569</v>
      </c>
      <c r="D22" s="74" t="s">
        <v>1483</v>
      </c>
      <c r="E22" s="66" t="str">
        <f>HYPERLINK("https://youtu.be/Ufp_Cg_QPno","channel 2")</f>
        <v>channel 2</v>
      </c>
    </row>
    <row r="23">
      <c r="B23" s="88" t="s">
        <v>1343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798</v>
      </c>
      <c r="C25" s="73" t="s">
        <v>77</v>
      </c>
      <c r="D25" s="74" t="s">
        <v>1486</v>
      </c>
      <c r="E25" s="13" t="str">
        <f>HYPERLINK("https://youtu.be/JbKW6TJRRn4","channel 1")</f>
        <v>channel 1</v>
      </c>
    </row>
    <row r="26">
      <c r="B26" s="72" t="s">
        <v>667</v>
      </c>
      <c r="C26" s="73" t="s">
        <v>337</v>
      </c>
      <c r="D26" s="74" t="s">
        <v>968</v>
      </c>
      <c r="E26" s="66" t="str">
        <f>HYPERLINK("https://youtu.be/oj1G_ianKoM","channel 2")</f>
        <v>channel 2</v>
      </c>
    </row>
    <row r="27">
      <c r="B27" s="72" t="s">
        <v>1365</v>
      </c>
      <c r="C27" s="73" t="s">
        <v>61</v>
      </c>
      <c r="D27" s="74" t="s">
        <v>798</v>
      </c>
      <c r="E27" s="13" t="str">
        <f>HYPERLINK("https://youtu.be/RAmOeLHmzro","channel 1")</f>
        <v>channel 1</v>
      </c>
    </row>
    <row r="28">
      <c r="B28" s="72" t="s">
        <v>667</v>
      </c>
      <c r="C28" s="73" t="s">
        <v>214</v>
      </c>
      <c r="D28" s="74" t="s">
        <v>1486</v>
      </c>
      <c r="E28" s="66" t="str">
        <f>HYPERLINK("https://youtu.be/_lbSbWjH5lI","channel 2")</f>
        <v>channel 2</v>
      </c>
    </row>
    <row r="29">
      <c r="B29" s="72" t="s">
        <v>1365</v>
      </c>
      <c r="C29" s="73" t="s">
        <v>124</v>
      </c>
      <c r="D29" s="74" t="s">
        <v>968</v>
      </c>
      <c r="E29" s="13" t="str">
        <f>HYPERLINK("https://youtu.be/t_1X_mU4AoE","channel 1")</f>
        <v>channel 1</v>
      </c>
    </row>
    <row r="30">
      <c r="B30" s="72" t="s">
        <v>667</v>
      </c>
      <c r="C30" s="73" t="s">
        <v>103</v>
      </c>
      <c r="D30" s="74" t="s">
        <v>798</v>
      </c>
      <c r="E30" s="66" t="str">
        <f>HYPERLINK("https://youtu.be/RpeGToyqUMU","channel 2")</f>
        <v>channel 2</v>
      </c>
    </row>
    <row r="31">
      <c r="B31" s="72" t="s">
        <v>1365</v>
      </c>
      <c r="C31" s="73" t="s">
        <v>105</v>
      </c>
      <c r="D31" s="74" t="s">
        <v>1486</v>
      </c>
      <c r="E31" s="13" t="str">
        <f>HYPERLINK("https://youtu.be/tE04U5_KNZw","channel 1")</f>
        <v>channel 1</v>
      </c>
    </row>
    <row r="32">
      <c r="B32" s="72" t="s">
        <v>968</v>
      </c>
      <c r="C32" s="73" t="s">
        <v>742</v>
      </c>
      <c r="D32" s="74" t="s">
        <v>798</v>
      </c>
      <c r="E32" s="66" t="str">
        <f>HYPERLINK("https://youtu.be/DgSKVAKetwM","channel 2")</f>
        <v>channel 2</v>
      </c>
    </row>
    <row r="33">
      <c r="B33" s="72" t="s">
        <v>1365</v>
      </c>
      <c r="C33" s="73" t="s">
        <v>34</v>
      </c>
      <c r="D33" s="74" t="s">
        <v>667</v>
      </c>
      <c r="E33" s="13" t="str">
        <f>HYPERLINK("https://youtu.be/Pg41qzkZvK0","channel 1")</f>
        <v>channel 1</v>
      </c>
    </row>
    <row r="34">
      <c r="B34" s="72" t="s">
        <v>968</v>
      </c>
      <c r="C34" s="73" t="s">
        <v>99</v>
      </c>
      <c r="D34" s="74" t="s">
        <v>1486</v>
      </c>
      <c r="E34" s="66" t="str">
        <f>HYPERLINK("https://youtu.be/TE4rWvBUxa8","channel 2")</f>
        <v>channel 2</v>
      </c>
    </row>
    <row r="35">
      <c r="B35" s="72" t="s">
        <v>1486</v>
      </c>
      <c r="C35" s="73" t="s">
        <v>32</v>
      </c>
      <c r="D35" s="74" t="s">
        <v>798</v>
      </c>
      <c r="E35" s="13" t="str">
        <f>HYPERLINK("https://youtu.be/53XjdGRGbq8","channel 1")</f>
        <v>channel 1</v>
      </c>
    </row>
    <row r="36">
      <c r="B36" s="72" t="s">
        <v>968</v>
      </c>
      <c r="C36" s="73" t="s">
        <v>297</v>
      </c>
      <c r="D36" s="74" t="s">
        <v>667</v>
      </c>
      <c r="E36" s="66" t="str">
        <f>HYPERLINK("https://youtu.be/4eeZ36aOOqE","channel 2")</f>
        <v>channel 2</v>
      </c>
    </row>
    <row r="37">
      <c r="B37" s="72" t="s">
        <v>798</v>
      </c>
      <c r="C37" s="73" t="s">
        <v>138</v>
      </c>
      <c r="D37" s="74" t="s">
        <v>1365</v>
      </c>
      <c r="E37" s="13" t="str">
        <f>HYPERLINK("https://youtu.be/VYDT2X5tP2g","channel 1")</f>
        <v>channel 1</v>
      </c>
    </row>
    <row r="38">
      <c r="B38" s="72" t="s">
        <v>1486</v>
      </c>
      <c r="C38" s="73" t="s">
        <v>40</v>
      </c>
      <c r="D38" s="74" t="s">
        <v>667</v>
      </c>
      <c r="E38" s="66" t="str">
        <f>HYPERLINK("https://youtu.be/mkJabfBl4Vc","channel 2")</f>
        <v>channel 2</v>
      </c>
    </row>
    <row r="39">
      <c r="B39" s="72" t="s">
        <v>968</v>
      </c>
      <c r="C39" s="73" t="s">
        <v>204</v>
      </c>
      <c r="D39" s="74" t="s">
        <v>1365</v>
      </c>
      <c r="E39" s="13" t="str">
        <f>HYPERLINK("https://youtu.be/fIQWFV0qPXI","channel 1")</f>
        <v>channel 1</v>
      </c>
    </row>
    <row r="40">
      <c r="B40" s="72" t="s">
        <v>798</v>
      </c>
      <c r="C40" s="73" t="s">
        <v>97</v>
      </c>
      <c r="D40" s="74" t="s">
        <v>667</v>
      </c>
      <c r="E40" s="66" t="str">
        <f>HYPERLINK("https://youtu.be/QiOYY6ILknA","channel 2")</f>
        <v>channel 2</v>
      </c>
    </row>
    <row r="41">
      <c r="B41" s="72" t="s">
        <v>1486</v>
      </c>
      <c r="C41" s="73" t="s">
        <v>77</v>
      </c>
      <c r="D41" s="74" t="s">
        <v>1365</v>
      </c>
      <c r="E41" s="13" t="str">
        <f>HYPERLINK("https://youtu.be/V_MdUnJpQng","channel 1")</f>
        <v>channel 1</v>
      </c>
    </row>
    <row r="42">
      <c r="B42" s="72" t="s">
        <v>798</v>
      </c>
      <c r="C42" s="73" t="s">
        <v>104</v>
      </c>
      <c r="D42" s="74" t="s">
        <v>968</v>
      </c>
      <c r="E42" s="66" t="str">
        <f>HYPERLINK("https://youtu.be/U6eibxGclCU","channel 2")</f>
        <v>channel 2</v>
      </c>
    </row>
    <row r="43">
      <c r="B43" s="72" t="s">
        <v>667</v>
      </c>
      <c r="C43" s="73" t="s">
        <v>257</v>
      </c>
      <c r="D43" s="74" t="s">
        <v>1365</v>
      </c>
      <c r="E43" s="13" t="str">
        <f>HYPERLINK("https://youtu.be/OC__SjKJ-78","channel 1")</f>
        <v>channel 1</v>
      </c>
    </row>
    <row r="44">
      <c r="B44" s="72" t="s">
        <v>1486</v>
      </c>
      <c r="C44" s="73" t="s">
        <v>145</v>
      </c>
      <c r="D44" s="74" t="s">
        <v>968</v>
      </c>
      <c r="E44" s="66" t="str">
        <f>HYPERLINK("https://youtu.be/_NPXXzrBhaY","channel 2")</f>
        <v>channel 2</v>
      </c>
    </row>
    <row r="45">
      <c r="B45" s="90" t="s">
        <v>377</v>
      </c>
      <c r="C45" s="59"/>
      <c r="D45" s="60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97" t="s">
        <v>666</v>
      </c>
      <c r="C47" s="73" t="s">
        <v>887</v>
      </c>
      <c r="D47" s="74" t="s">
        <v>488</v>
      </c>
      <c r="E47" s="13" t="str">
        <f>HYPERLINK("https://youtu.be/VvTmbEp_faI","channel 1")</f>
        <v>channel 1</v>
      </c>
    </row>
    <row r="48">
      <c r="B48" s="72" t="s">
        <v>1016</v>
      </c>
      <c r="C48" s="73" t="s">
        <v>145</v>
      </c>
      <c r="D48" s="74" t="s">
        <v>81</v>
      </c>
      <c r="E48" s="66" t="str">
        <f>HYPERLINK("https://youtu.be/ht2IxD_pdhA","channel 2")</f>
        <v>channel 2</v>
      </c>
    </row>
    <row r="49">
      <c r="B49" s="72" t="s">
        <v>808</v>
      </c>
      <c r="C49" s="73" t="s">
        <v>143</v>
      </c>
      <c r="D49" s="74" t="s">
        <v>666</v>
      </c>
      <c r="E49" s="13" t="str">
        <f>HYPERLINK("https://youtu.be/Tea_-JOPzes","channel 1")</f>
        <v>channel 1</v>
      </c>
    </row>
    <row r="50">
      <c r="B50" s="72" t="s">
        <v>1016</v>
      </c>
      <c r="C50" s="73" t="s">
        <v>32</v>
      </c>
      <c r="D50" s="74" t="s">
        <v>488</v>
      </c>
      <c r="E50" s="66" t="str">
        <f>HYPERLINK("https://youtu.be/iNL_1x-3Liw","channel 2")</f>
        <v>channel 2</v>
      </c>
    </row>
    <row r="51">
      <c r="B51" s="72" t="s">
        <v>808</v>
      </c>
      <c r="C51" s="73" t="s">
        <v>180</v>
      </c>
      <c r="D51" s="74" t="s">
        <v>81</v>
      </c>
      <c r="E51" s="13" t="str">
        <f>HYPERLINK("https://youtu.be/fjr-D03iIKU","channel 1")</f>
        <v>channel 1</v>
      </c>
    </row>
    <row r="52">
      <c r="B52" s="72" t="s">
        <v>1016</v>
      </c>
      <c r="C52" s="73" t="s">
        <v>42</v>
      </c>
      <c r="D52" s="74" t="s">
        <v>666</v>
      </c>
      <c r="E52" s="66" t="str">
        <f>HYPERLINK("https://youtu.be/S30nvE1OU2U","channel 2")</f>
        <v>channel 2</v>
      </c>
    </row>
    <row r="53">
      <c r="B53" s="72" t="s">
        <v>808</v>
      </c>
      <c r="C53" s="73" t="s">
        <v>477</v>
      </c>
      <c r="D53" s="74" t="s">
        <v>488</v>
      </c>
      <c r="E53" s="13" t="str">
        <f>HYPERLINK("https://youtu.be/xoLBw1z6Ya8ъ","channel 1")</f>
        <v>channel 1</v>
      </c>
    </row>
    <row r="54">
      <c r="B54" s="72" t="s">
        <v>81</v>
      </c>
      <c r="C54" s="73" t="s">
        <v>106</v>
      </c>
      <c r="D54" s="74" t="s">
        <v>666</v>
      </c>
      <c r="E54" s="66" t="str">
        <f>HYPERLINK("https://youtu.be/UpsFpQkfLKs","channel 2")</f>
        <v>channel 2</v>
      </c>
    </row>
    <row r="55">
      <c r="B55" s="72" t="s">
        <v>808</v>
      </c>
      <c r="C55" s="73" t="s">
        <v>573</v>
      </c>
      <c r="D55" s="74" t="s">
        <v>1016</v>
      </c>
      <c r="E55" s="13" t="str">
        <f>HYPERLINK("https://youtu.be/hHM7Lwk7IrI","channel 1")</f>
        <v>channel 1</v>
      </c>
    </row>
    <row r="56">
      <c r="B56" s="72" t="s">
        <v>81</v>
      </c>
      <c r="C56" s="73" t="s">
        <v>157</v>
      </c>
      <c r="D56" s="74" t="s">
        <v>488</v>
      </c>
      <c r="E56" s="66" t="str">
        <f>HYPERLINK("https://youtu.be/v9OMIllOuts","channel 2")</f>
        <v>channel 2</v>
      </c>
    </row>
    <row r="57">
      <c r="B57" s="72" t="s">
        <v>488</v>
      </c>
      <c r="C57" s="73" t="s">
        <v>109</v>
      </c>
      <c r="D57" s="74" t="s">
        <v>666</v>
      </c>
      <c r="E57" s="13" t="str">
        <f>HYPERLINK("https://youtu.be/_OYFiFgLzyw","channel 1")</f>
        <v>channel 1</v>
      </c>
    </row>
    <row r="58">
      <c r="B58" s="72" t="s">
        <v>81</v>
      </c>
      <c r="C58" s="73" t="s">
        <v>522</v>
      </c>
      <c r="D58" s="74" t="s">
        <v>1016</v>
      </c>
      <c r="E58" s="66" t="str">
        <f>HYPERLINK("https://youtu.be/IBsvAy9iXyA","channel 2")</f>
        <v>channel 2</v>
      </c>
    </row>
    <row r="59">
      <c r="B59" s="72" t="s">
        <v>666</v>
      </c>
      <c r="C59" s="73" t="s">
        <v>278</v>
      </c>
      <c r="D59" s="74" t="s">
        <v>808</v>
      </c>
      <c r="E59" s="13" t="str">
        <f>HYPERLINK("https://youtu.be/zJ9E99-igCg","channel 1")</f>
        <v>channel 1</v>
      </c>
    </row>
    <row r="60">
      <c r="B60" s="72" t="s">
        <v>488</v>
      </c>
      <c r="C60" s="73" t="s">
        <v>569</v>
      </c>
      <c r="D60" s="74" t="s">
        <v>1016</v>
      </c>
      <c r="E60" s="66" t="str">
        <f>HYPERLINK("https://youtu.be/c7LZ6UnuY1E","channel 2")</f>
        <v>channel 2</v>
      </c>
    </row>
    <row r="61">
      <c r="B61" s="72" t="s">
        <v>81</v>
      </c>
      <c r="C61" s="73" t="s">
        <v>18</v>
      </c>
      <c r="D61" s="74" t="s">
        <v>808</v>
      </c>
      <c r="E61" s="13" t="str">
        <f>HYPERLINK("https://youtu.be/USsG-4Mz340","channel 1")</f>
        <v>channel 1</v>
      </c>
    </row>
    <row r="62">
      <c r="B62" s="72" t="s">
        <v>666</v>
      </c>
      <c r="C62" s="73" t="s">
        <v>24</v>
      </c>
      <c r="D62" s="74" t="s">
        <v>1016</v>
      </c>
      <c r="E62" s="66" t="str">
        <f>HYPERLINK("https://youtu.be/xjsIpsjbDFo","channel 2")</f>
        <v>channel 2</v>
      </c>
    </row>
    <row r="63">
      <c r="B63" s="72" t="s">
        <v>488</v>
      </c>
      <c r="C63" s="73" t="s">
        <v>460</v>
      </c>
      <c r="D63" s="74" t="s">
        <v>808</v>
      </c>
      <c r="E63" s="13" t="str">
        <f>HYPERLINK("https://youtu.be/MYa62_xKbhc","channel 1")</f>
        <v>channel 1</v>
      </c>
    </row>
    <row r="64">
      <c r="B64" s="72" t="s">
        <v>666</v>
      </c>
      <c r="C64" s="73" t="s">
        <v>322</v>
      </c>
      <c r="D64" s="74" t="s">
        <v>81</v>
      </c>
      <c r="E64" s="66" t="str">
        <f>HYPERLINK("https://youtu.be/eV9Ex12DDdw","channel 2")</f>
        <v>channel 2</v>
      </c>
    </row>
    <row r="65">
      <c r="B65" s="72" t="s">
        <v>1016</v>
      </c>
      <c r="C65" s="73" t="s">
        <v>141</v>
      </c>
      <c r="D65" s="74" t="s">
        <v>808</v>
      </c>
      <c r="E65" s="13" t="str">
        <f>HYPERLINK("https://youtu.be/OmMbWFxWBX0","channel 1")</f>
        <v>channel 1</v>
      </c>
    </row>
    <row r="66">
      <c r="B66" s="72" t="s">
        <v>488</v>
      </c>
      <c r="C66" s="73" t="s">
        <v>104</v>
      </c>
      <c r="D66" s="74" t="s">
        <v>81</v>
      </c>
      <c r="E66" s="66" t="str">
        <f>HYPERLINK("https://youtu.be/PAL6k288Uo8","channel 2")</f>
        <v>channel 2</v>
      </c>
    </row>
    <row r="67">
      <c r="B67" s="90" t="s">
        <v>134</v>
      </c>
      <c r="C67" s="59"/>
      <c r="D67" s="60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97" t="s">
        <v>1498</v>
      </c>
      <c r="C69" s="73" t="s">
        <v>142</v>
      </c>
      <c r="D69" s="74" t="s">
        <v>129</v>
      </c>
      <c r="E69" s="13" t="str">
        <f>HYPERLINK("https://youtu.be/M2L2I_Y-DpE","channel 1")</f>
        <v>channel 1</v>
      </c>
    </row>
    <row r="70">
      <c r="B70" s="72" t="s">
        <v>1499</v>
      </c>
      <c r="C70" s="73" t="s">
        <v>77</v>
      </c>
      <c r="D70" s="74" t="s">
        <v>1038</v>
      </c>
      <c r="E70" s="66" t="str">
        <f>HYPERLINK("https://youtu.be/dt03eBcFwls","channel 2")</f>
        <v>channel 2</v>
      </c>
    </row>
    <row r="71">
      <c r="B71" s="72" t="s">
        <v>1500</v>
      </c>
      <c r="C71" s="73" t="s">
        <v>32</v>
      </c>
      <c r="D71" s="74" t="s">
        <v>1498</v>
      </c>
      <c r="E71" s="13" t="str">
        <f>HYPERLINK("https://youtu.be/cU5NCtfwHqE","channel 1")</f>
        <v>channel 1</v>
      </c>
    </row>
    <row r="72">
      <c r="B72" s="72" t="s">
        <v>1499</v>
      </c>
      <c r="C72" s="73" t="s">
        <v>157</v>
      </c>
      <c r="D72" s="74" t="s">
        <v>129</v>
      </c>
      <c r="E72" s="66" t="str">
        <f>HYPERLINK("https://youtu.be/qCOas8jWqf4","channel 2")</f>
        <v>channel 2</v>
      </c>
    </row>
    <row r="73">
      <c r="B73" s="72" t="s">
        <v>1500</v>
      </c>
      <c r="C73" s="73" t="s">
        <v>145</v>
      </c>
      <c r="D73" s="74" t="s">
        <v>1038</v>
      </c>
      <c r="E73" s="13" t="str">
        <f>HYPERLINK("https://youtu.be/XvzTrqmTpVA","channel 1")</f>
        <v>channel 1</v>
      </c>
    </row>
    <row r="74">
      <c r="B74" s="72" t="s">
        <v>1499</v>
      </c>
      <c r="C74" s="73" t="s">
        <v>319</v>
      </c>
      <c r="D74" s="74" t="s">
        <v>1498</v>
      </c>
      <c r="E74" s="66" t="str">
        <f>HYPERLINK("https://youtu.be/bql7Yj3vqus","channel 2")</f>
        <v>channel 2</v>
      </c>
    </row>
    <row r="75">
      <c r="B75" s="72" t="s">
        <v>1500</v>
      </c>
      <c r="C75" s="73" t="s">
        <v>435</v>
      </c>
      <c r="D75" s="74" t="s">
        <v>129</v>
      </c>
      <c r="E75" s="13" t="str">
        <f>HYPERLINK("https://youtu.be/MYgeaJqKiCA","channel 1")</f>
        <v>channel 1</v>
      </c>
    </row>
    <row r="76">
      <c r="B76" s="72" t="s">
        <v>1038</v>
      </c>
      <c r="C76" s="73" t="s">
        <v>77</v>
      </c>
      <c r="D76" s="74" t="s">
        <v>1498</v>
      </c>
      <c r="E76" s="66" t="str">
        <f>HYPERLINK("https://youtu.be/TfFe5veH26Q","channel 2")</f>
        <v>channel 2</v>
      </c>
    </row>
    <row r="77">
      <c r="B77" s="72" t="s">
        <v>1500</v>
      </c>
      <c r="C77" s="73" t="s">
        <v>350</v>
      </c>
      <c r="D77" s="74" t="s">
        <v>1499</v>
      </c>
      <c r="E77" s="13" t="str">
        <f>HYPERLINK("https://youtu.be/91iwOPkGXRE","channel 1")</f>
        <v>channel 1</v>
      </c>
    </row>
    <row r="78">
      <c r="B78" s="72" t="s">
        <v>1038</v>
      </c>
      <c r="C78" s="73" t="s">
        <v>10</v>
      </c>
      <c r="D78" s="74" t="s">
        <v>129</v>
      </c>
      <c r="E78" s="66" t="str">
        <f>HYPERLINK("https://youtu.be/S7oJZOjduz8","channel 2")</f>
        <v>channel 2</v>
      </c>
    </row>
    <row r="79">
      <c r="B79" s="72" t="s">
        <v>129</v>
      </c>
      <c r="C79" s="73" t="s">
        <v>420</v>
      </c>
      <c r="D79" s="74" t="s">
        <v>1498</v>
      </c>
      <c r="E79" s="13" t="str">
        <f>HYPERLINK("https://youtu.be/QIeG-cot2wo","channel 1")</f>
        <v>channel 1</v>
      </c>
    </row>
    <row r="80">
      <c r="B80" s="72" t="s">
        <v>1038</v>
      </c>
      <c r="C80" s="73" t="s">
        <v>46</v>
      </c>
      <c r="D80" s="74" t="s">
        <v>1499</v>
      </c>
      <c r="E80" s="66" t="str">
        <f>HYPERLINK("https://youtu.be/KJpWDU7bLvA","channel 2")</f>
        <v>channel 2</v>
      </c>
    </row>
    <row r="81">
      <c r="B81" s="72" t="s">
        <v>1498</v>
      </c>
      <c r="C81" s="73" t="s">
        <v>555</v>
      </c>
      <c r="D81" s="74" t="s">
        <v>1500</v>
      </c>
      <c r="E81" s="13" t="str">
        <f>HYPERLINK("https://youtu.be/0k7-4kvpk_Q","channel 1")</f>
        <v>channel 1</v>
      </c>
    </row>
    <row r="82">
      <c r="B82" s="72" t="s">
        <v>129</v>
      </c>
      <c r="C82" s="73" t="s">
        <v>188</v>
      </c>
      <c r="D82" s="74" t="s">
        <v>1499</v>
      </c>
      <c r="E82" s="66" t="str">
        <f>HYPERLINK("https://youtu.be/Fp8gk_rdvXA","channel 2")</f>
        <v>channel 2</v>
      </c>
    </row>
    <row r="83">
      <c r="B83" s="72" t="s">
        <v>1038</v>
      </c>
      <c r="C83" s="73" t="s">
        <v>36</v>
      </c>
      <c r="D83" s="74" t="s">
        <v>1500</v>
      </c>
      <c r="E83" s="13" t="str">
        <f>HYPERLINK("https://youtu.be/PIbeBv9IJi8","channel 1")</f>
        <v>channel 1</v>
      </c>
    </row>
    <row r="84">
      <c r="B84" s="72" t="s">
        <v>1498</v>
      </c>
      <c r="C84" s="73" t="s">
        <v>308</v>
      </c>
      <c r="D84" s="74" t="s">
        <v>1499</v>
      </c>
      <c r="E84" s="66" t="str">
        <f>HYPERLINK("https://youtu.be/3hLALW6CrS8","channel 2")</f>
        <v>channel 2</v>
      </c>
    </row>
    <row r="85">
      <c r="B85" s="72" t="s">
        <v>129</v>
      </c>
      <c r="C85" s="73" t="s">
        <v>190</v>
      </c>
      <c r="D85" s="74" t="s">
        <v>1500</v>
      </c>
      <c r="E85" s="13" t="str">
        <f>HYPERLINK("https://youtu.be/XNlWWt0ZE84","channel 1")</f>
        <v>channel 1</v>
      </c>
    </row>
    <row r="86">
      <c r="B86" s="72" t="s">
        <v>1498</v>
      </c>
      <c r="C86" s="73" t="s">
        <v>85</v>
      </c>
      <c r="D86" s="74" t="s">
        <v>1038</v>
      </c>
      <c r="E86" s="66" t="str">
        <f>HYPERLINK("https://youtu.be/niSW1om5RV0","channel 2")</f>
        <v>channel 2</v>
      </c>
    </row>
    <row r="87">
      <c r="B87" s="72" t="s">
        <v>1499</v>
      </c>
      <c r="C87" s="73" t="s">
        <v>338</v>
      </c>
      <c r="D87" s="74" t="s">
        <v>1500</v>
      </c>
      <c r="E87" s="13" t="str">
        <f>HYPERLINK("https://youtu.be/vnOEkz1CkLc","channel 1")</f>
        <v>channel 1</v>
      </c>
    </row>
    <row r="88">
      <c r="B88" s="72" t="s">
        <v>129</v>
      </c>
      <c r="C88" s="73" t="s">
        <v>272</v>
      </c>
      <c r="D88" s="74" t="s">
        <v>1038</v>
      </c>
      <c r="E88" s="66" t="str">
        <f>HYPERLINK("https://youtu.be/osSi1ntBR-E","channel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299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1492</v>
      </c>
      <c r="C3" s="70" t="s">
        <v>44</v>
      </c>
      <c r="D3" s="71" t="s">
        <v>1493</v>
      </c>
      <c r="E3" s="13" t="str">
        <f>HYPERLINK("https://youtu.be/beRyyAjmbr4","channel 1")</f>
        <v>channel 1</v>
      </c>
    </row>
    <row r="4">
      <c r="B4" s="72" t="s">
        <v>1494</v>
      </c>
      <c r="C4" s="73" t="s">
        <v>108</v>
      </c>
      <c r="D4" s="74" t="s">
        <v>968</v>
      </c>
      <c r="E4" s="66" t="str">
        <f>HYPERLINK("https://youtu.be/hjfUoz2Lg2M","channel 2")</f>
        <v>channel 2</v>
      </c>
    </row>
    <row r="5">
      <c r="B5" s="72" t="s">
        <v>1495</v>
      </c>
      <c r="C5" s="73" t="s">
        <v>216</v>
      </c>
      <c r="D5" s="74" t="s">
        <v>1492</v>
      </c>
      <c r="E5" s="13" t="str">
        <f>HYPERLINK("https://youtu.be/YO1xDoTnE_4","channel 1")</f>
        <v>channel 1</v>
      </c>
    </row>
    <row r="6">
      <c r="B6" s="72" t="s">
        <v>1494</v>
      </c>
      <c r="C6" s="73" t="s">
        <v>18</v>
      </c>
      <c r="D6" s="74" t="s">
        <v>1493</v>
      </c>
      <c r="E6" s="66" t="str">
        <f>HYPERLINK("https://youtu.be/KCtRcAh_Hd8","channel 2")</f>
        <v>channel 2</v>
      </c>
    </row>
    <row r="7">
      <c r="B7" s="72" t="s">
        <v>1495</v>
      </c>
      <c r="C7" s="73" t="s">
        <v>59</v>
      </c>
      <c r="D7" s="74" t="s">
        <v>968</v>
      </c>
      <c r="E7" s="13" t="str">
        <f>HYPERLINK("https://youtu.be/14HrOkW9tXg","channel 1")</f>
        <v>channel 1</v>
      </c>
    </row>
    <row r="8">
      <c r="B8" s="72" t="s">
        <v>1494</v>
      </c>
      <c r="C8" s="73" t="s">
        <v>97</v>
      </c>
      <c r="D8" s="74" t="s">
        <v>1492</v>
      </c>
      <c r="E8" s="66" t="str">
        <f>HYPERLINK("https://youtu.be/26UciXulqFI","channel 2")</f>
        <v>channel 2</v>
      </c>
    </row>
    <row r="9">
      <c r="B9" s="72" t="s">
        <v>1495</v>
      </c>
      <c r="C9" s="73" t="s">
        <v>216</v>
      </c>
      <c r="D9" s="74" t="s">
        <v>1493</v>
      </c>
      <c r="E9" s="13" t="str">
        <f>HYPERLINK("https://youtu.be/nKXB0z4OSH0","channel 1")</f>
        <v>channel 1</v>
      </c>
    </row>
    <row r="10">
      <c r="B10" s="72" t="s">
        <v>968</v>
      </c>
      <c r="C10" s="73" t="s">
        <v>10</v>
      </c>
      <c r="D10" s="74" t="s">
        <v>1492</v>
      </c>
      <c r="E10" s="66" t="str">
        <f>HYPERLINK("https://youtu.be/FOIkGw8hO0s","channel 2")</f>
        <v>channel 2</v>
      </c>
    </row>
    <row r="11">
      <c r="B11" s="72" t="s">
        <v>1495</v>
      </c>
      <c r="C11" s="73" t="s">
        <v>18</v>
      </c>
      <c r="D11" s="74" t="s">
        <v>1494</v>
      </c>
      <c r="E11" s="13" t="str">
        <f>HYPERLINK("https://youtu.be/0lm6qaKA6Ek","channel 1")</f>
        <v>channel 1</v>
      </c>
    </row>
    <row r="12">
      <c r="B12" s="72" t="s">
        <v>968</v>
      </c>
      <c r="C12" s="73" t="s">
        <v>551</v>
      </c>
      <c r="D12" s="74" t="s">
        <v>1493</v>
      </c>
      <c r="E12" s="66" t="str">
        <f>HYPERLINK("https://youtu.be/h9vQzYQ89UE","channel 2")</f>
        <v>channel 2</v>
      </c>
    </row>
    <row r="13">
      <c r="B13" s="72" t="s">
        <v>1493</v>
      </c>
      <c r="C13" s="73" t="s">
        <v>34</v>
      </c>
      <c r="D13" s="74" t="s">
        <v>1492</v>
      </c>
      <c r="E13" s="13" t="str">
        <f>HYPERLINK("https://youtu.be/8piGcD9yDiI","channel 1")</f>
        <v>channel 1</v>
      </c>
    </row>
    <row r="14">
      <c r="B14" s="72" t="s">
        <v>968</v>
      </c>
      <c r="C14" s="73" t="s">
        <v>49</v>
      </c>
      <c r="D14" s="74" t="s">
        <v>1494</v>
      </c>
      <c r="E14" s="66" t="str">
        <f>HYPERLINK("https://youtu.be/FwuXPrapBqQ","channel 2")</f>
        <v>channel 2</v>
      </c>
    </row>
    <row r="15">
      <c r="B15" s="72" t="s">
        <v>1492</v>
      </c>
      <c r="C15" s="73" t="s">
        <v>24</v>
      </c>
      <c r="D15" s="74" t="s">
        <v>1495</v>
      </c>
      <c r="E15" s="13" t="str">
        <f>HYPERLINK("https://youtu.be/btygowUBPYI","channel 1")</f>
        <v>channel 1</v>
      </c>
    </row>
    <row r="16">
      <c r="B16" s="72" t="s">
        <v>1493</v>
      </c>
      <c r="C16" s="73" t="s">
        <v>216</v>
      </c>
      <c r="D16" s="74" t="s">
        <v>1494</v>
      </c>
      <c r="E16" s="66" t="str">
        <f>HYPERLINK("https://youtu.be/FJlSlshI4VY","channel 2")</f>
        <v>channel 2</v>
      </c>
    </row>
    <row r="17">
      <c r="B17" s="72" t="s">
        <v>968</v>
      </c>
      <c r="C17" s="73" t="s">
        <v>851</v>
      </c>
      <c r="D17" s="74" t="s">
        <v>1495</v>
      </c>
      <c r="E17" s="13" t="str">
        <f>HYPERLINK("https://youtu.be/hqHFgQzQq5w","channel 1")</f>
        <v>channel 1</v>
      </c>
    </row>
    <row r="18">
      <c r="B18" s="72" t="s">
        <v>1492</v>
      </c>
      <c r="C18" s="73" t="s">
        <v>89</v>
      </c>
      <c r="D18" s="74" t="s">
        <v>1494</v>
      </c>
      <c r="E18" s="66" t="str">
        <f>HYPERLINK("https://youtu.be/-NQVbSRLKs4","channel 2")</f>
        <v>channel 2</v>
      </c>
    </row>
    <row r="19">
      <c r="B19" s="72" t="s">
        <v>1493</v>
      </c>
      <c r="C19" s="73" t="s">
        <v>577</v>
      </c>
      <c r="D19" s="74" t="s">
        <v>1495</v>
      </c>
      <c r="E19" s="13" t="str">
        <f>HYPERLINK("https://youtu.be/Ij57UMGO-lk","channel 1")</f>
        <v>channel 1</v>
      </c>
    </row>
    <row r="20">
      <c r="B20" s="72" t="s">
        <v>1492</v>
      </c>
      <c r="C20" s="73" t="s">
        <v>194</v>
      </c>
      <c r="D20" s="74" t="s">
        <v>968</v>
      </c>
      <c r="E20" s="66" t="str">
        <f>HYPERLINK("https://youtu.be/WTFqLeACPfg","channel 2")</f>
        <v>channel 2</v>
      </c>
    </row>
    <row r="21">
      <c r="B21" s="72" t="s">
        <v>1494</v>
      </c>
      <c r="C21" s="73" t="s">
        <v>160</v>
      </c>
      <c r="D21" s="74" t="s">
        <v>1495</v>
      </c>
      <c r="E21" s="13" t="str">
        <f>HYPERLINK("https://youtu.be/GY4DvTEswJU","channel 1")</f>
        <v>channel 1</v>
      </c>
    </row>
    <row r="22">
      <c r="B22" s="72" t="s">
        <v>1493</v>
      </c>
      <c r="C22" s="73" t="s">
        <v>538</v>
      </c>
      <c r="D22" s="74" t="s">
        <v>968</v>
      </c>
      <c r="E22" s="66" t="str">
        <f>HYPERLINK("https://youtu.be/XpjNPgHdK8Y","channel 2")</f>
        <v>channel 2</v>
      </c>
    </row>
    <row r="23">
      <c r="B23" s="2" t="s">
        <v>773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1134</v>
      </c>
      <c r="C25" s="70" t="s">
        <v>24</v>
      </c>
      <c r="D25" s="71" t="s">
        <v>1496</v>
      </c>
      <c r="E25" s="13" t="str">
        <f>HYPERLINK("https://youtu.be/Yam9-Kp0qJM","channel 1")</f>
        <v>channel 1</v>
      </c>
    </row>
    <row r="26">
      <c r="B26" s="72" t="s">
        <v>1497</v>
      </c>
      <c r="C26" s="73" t="s">
        <v>148</v>
      </c>
      <c r="D26" s="74" t="s">
        <v>1269</v>
      </c>
      <c r="E26" s="66" t="str">
        <f>HYPERLINK("https://youtu.be/O4PxSdI_qvQ","channel 2")</f>
        <v>channel 2</v>
      </c>
    </row>
    <row r="27">
      <c r="B27" s="72" t="s">
        <v>1315</v>
      </c>
      <c r="C27" s="73" t="s">
        <v>332</v>
      </c>
      <c r="D27" s="74" t="s">
        <v>1134</v>
      </c>
      <c r="E27" s="13" t="str">
        <f>HYPERLINK("https://youtu.be/k3ABrcpOEqE","channel 1")</f>
        <v>channel 1</v>
      </c>
    </row>
    <row r="28">
      <c r="B28" s="72" t="s">
        <v>1497</v>
      </c>
      <c r="C28" s="73" t="s">
        <v>117</v>
      </c>
      <c r="D28" s="74" t="s">
        <v>1496</v>
      </c>
      <c r="E28" s="66" t="str">
        <f>HYPERLINK("https://youtu.be/QKwjArCE230","channel 2")</f>
        <v>channel 2</v>
      </c>
    </row>
    <row r="29">
      <c r="B29" s="72" t="s">
        <v>1315</v>
      </c>
      <c r="C29" s="73" t="s">
        <v>160</v>
      </c>
      <c r="D29" s="74" t="s">
        <v>1269</v>
      </c>
      <c r="E29" s="13" t="str">
        <f>HYPERLINK("https://youtu.be/Zf8vgFtu5yg","channel 1")</f>
        <v>channel 1</v>
      </c>
    </row>
    <row r="30">
      <c r="B30" s="72" t="s">
        <v>1497</v>
      </c>
      <c r="C30" s="73" t="s">
        <v>104</v>
      </c>
      <c r="D30" s="74" t="s">
        <v>1134</v>
      </c>
      <c r="E30" s="66" t="str">
        <f>HYPERLINK("https://youtu.be/eq4UY5iStW8","channel 2")</f>
        <v>channel 2</v>
      </c>
    </row>
    <row r="31">
      <c r="B31" s="72" t="s">
        <v>1315</v>
      </c>
      <c r="C31" s="73" t="s">
        <v>144</v>
      </c>
      <c r="D31" s="74" t="s">
        <v>1496</v>
      </c>
      <c r="E31" s="13" t="str">
        <f>HYPERLINK("https://youtu.be/peirwZEiGG4","channel 1")</f>
        <v>channel 1</v>
      </c>
    </row>
    <row r="32">
      <c r="B32" s="72" t="s">
        <v>1269</v>
      </c>
      <c r="C32" s="73" t="s">
        <v>113</v>
      </c>
      <c r="D32" s="74" t="s">
        <v>1134</v>
      </c>
      <c r="E32" s="66" t="str">
        <f>HYPERLINK("https://youtu.be/MmmlYfKV1ZI","channel 2")</f>
        <v>channel 2</v>
      </c>
    </row>
    <row r="33">
      <c r="B33" s="72" t="s">
        <v>1315</v>
      </c>
      <c r="C33" s="73" t="s">
        <v>84</v>
      </c>
      <c r="D33" s="74" t="s">
        <v>1497</v>
      </c>
      <c r="E33" s="13" t="str">
        <f>HYPERLINK("https://youtu.be/NNwJ_MDv85o","channel 1")</f>
        <v>channel 1</v>
      </c>
    </row>
    <row r="34">
      <c r="B34" s="72" t="s">
        <v>1269</v>
      </c>
      <c r="C34" s="73" t="s">
        <v>1373</v>
      </c>
      <c r="D34" s="74" t="s">
        <v>1496</v>
      </c>
      <c r="E34" s="66" t="str">
        <f>HYPERLINK("https://youtu.be/nNJHiBceeDc","channel 2")</f>
        <v>channel 2</v>
      </c>
    </row>
    <row r="35">
      <c r="B35" s="72" t="s">
        <v>1496</v>
      </c>
      <c r="C35" s="73" t="s">
        <v>1501</v>
      </c>
      <c r="D35" s="74" t="s">
        <v>1134</v>
      </c>
      <c r="E35" s="13" t="str">
        <f>HYPERLINK("https://youtu.be/0w6uCg_TpEY","channel 1")</f>
        <v>channel 1</v>
      </c>
    </row>
    <row r="36">
      <c r="B36" s="72" t="s">
        <v>1269</v>
      </c>
      <c r="C36" s="73" t="s">
        <v>46</v>
      </c>
      <c r="D36" s="74" t="s">
        <v>1497</v>
      </c>
      <c r="E36" s="66" t="str">
        <f>HYPERLINK("https://youtu.be/tVmesUW-a14","channel 2")</f>
        <v>channel 2</v>
      </c>
    </row>
    <row r="37">
      <c r="B37" s="72" t="s">
        <v>1134</v>
      </c>
      <c r="C37" s="73" t="s">
        <v>88</v>
      </c>
      <c r="D37" s="74" t="s">
        <v>1315</v>
      </c>
      <c r="E37" s="13" t="str">
        <f>HYPERLINK("https://youtu.be/UvQxCp_9Bds","channel 1")</f>
        <v>channel 1</v>
      </c>
    </row>
    <row r="38">
      <c r="B38" s="72" t="s">
        <v>1496</v>
      </c>
      <c r="C38" s="73" t="s">
        <v>232</v>
      </c>
      <c r="D38" s="74" t="s">
        <v>1497</v>
      </c>
      <c r="E38" s="66" t="str">
        <f>HYPERLINK("https://youtu.be/-0McVAsAA5Y","channel 2")</f>
        <v>channel 2</v>
      </c>
    </row>
    <row r="39">
      <c r="B39" s="72" t="s">
        <v>1269</v>
      </c>
      <c r="C39" s="73" t="s">
        <v>49</v>
      </c>
      <c r="D39" s="74" t="s">
        <v>1315</v>
      </c>
      <c r="E39" s="13" t="str">
        <f>HYPERLINK("https://youtu.be/APkEbC90iwU","channel 1")</f>
        <v>channel 1</v>
      </c>
    </row>
    <row r="40">
      <c r="B40" s="72" t="s">
        <v>1134</v>
      </c>
      <c r="C40" s="73" t="s">
        <v>135</v>
      </c>
      <c r="D40" s="74" t="s">
        <v>1497</v>
      </c>
      <c r="E40" s="66" t="str">
        <f>HYPERLINK("https://youtu.be/I2P_H2BCCsk","channel 2")</f>
        <v>channel 2</v>
      </c>
    </row>
    <row r="41">
      <c r="B41" s="72" t="s">
        <v>1496</v>
      </c>
      <c r="C41" s="73" t="s">
        <v>113</v>
      </c>
      <c r="D41" s="74" t="s">
        <v>1315</v>
      </c>
      <c r="E41" s="13" t="str">
        <f>HYPERLINK("https://youtu.be/sckl1DaOL84","channel 1")</f>
        <v>channel 1</v>
      </c>
    </row>
    <row r="42">
      <c r="B42" s="72" t="s">
        <v>1134</v>
      </c>
      <c r="C42" s="73" t="s">
        <v>190</v>
      </c>
      <c r="D42" s="74" t="s">
        <v>1269</v>
      </c>
      <c r="E42" s="66" t="str">
        <f>HYPERLINK("https://youtu.be/o1r4YDCwlVA","channel 2")</f>
        <v>channel 2</v>
      </c>
    </row>
    <row r="43">
      <c r="B43" s="72" t="s">
        <v>1497</v>
      </c>
      <c r="C43" s="73" t="s">
        <v>141</v>
      </c>
      <c r="D43" s="74" t="s">
        <v>1315</v>
      </c>
      <c r="E43" s="13" t="str">
        <f>HYPERLINK("https://youtu.be/53YflL6KooQ","channel 1")</f>
        <v>channel 1</v>
      </c>
    </row>
    <row r="44">
      <c r="B44" s="72" t="s">
        <v>1496</v>
      </c>
      <c r="C44" s="73" t="s">
        <v>37</v>
      </c>
      <c r="D44" s="74" t="s">
        <v>1269</v>
      </c>
      <c r="E44" s="66" t="str">
        <f>HYPERLINK("https://youtu.be/6pSnIT7KZww","channel 2")</f>
        <v>channel 2</v>
      </c>
    </row>
    <row r="45">
      <c r="B45" s="2" t="s">
        <v>700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1042</v>
      </c>
      <c r="C47" s="70" t="s">
        <v>157</v>
      </c>
      <c r="D47" s="71" t="s">
        <v>1335</v>
      </c>
      <c r="E47" s="13" t="str">
        <f>HYPERLINK("https://youtu.be/_DLlj3pij-4","channel 1")</f>
        <v>channel 1</v>
      </c>
    </row>
    <row r="48">
      <c r="B48" s="72" t="s">
        <v>1043</v>
      </c>
      <c r="C48" s="73" t="s">
        <v>117</v>
      </c>
      <c r="D48" s="74" t="s">
        <v>136</v>
      </c>
      <c r="E48" s="66" t="str">
        <f>HYPERLINK("https://youtu.be/I5y2syoLJAo","channel 2")</f>
        <v>channel 2</v>
      </c>
    </row>
    <row r="49">
      <c r="B49" s="72" t="s">
        <v>1502</v>
      </c>
      <c r="C49" s="73" t="s">
        <v>49</v>
      </c>
      <c r="D49" s="74" t="s">
        <v>1042</v>
      </c>
      <c r="E49" s="13" t="str">
        <f>HYPERLINK("https://youtu.be/WUItF_xpCc8","channel 1")</f>
        <v>channel 1</v>
      </c>
    </row>
    <row r="50">
      <c r="B50" s="72" t="s">
        <v>1043</v>
      </c>
      <c r="C50" s="73" t="s">
        <v>103</v>
      </c>
      <c r="D50" s="74" t="s">
        <v>1335</v>
      </c>
      <c r="E50" s="66" t="str">
        <f>HYPERLINK("https://youtu.be/xXNoJZu5xzs","channel 2")</f>
        <v>channel 2</v>
      </c>
    </row>
    <row r="51">
      <c r="B51" s="72" t="s">
        <v>1502</v>
      </c>
      <c r="C51" s="73" t="s">
        <v>265</v>
      </c>
      <c r="D51" s="74" t="s">
        <v>136</v>
      </c>
      <c r="E51" s="13" t="str">
        <f>HYPERLINK("https://youtu.be/87nv00BNqX8","channel 1")</f>
        <v>channel 1</v>
      </c>
    </row>
    <row r="52">
      <c r="B52" s="72" t="s">
        <v>1043</v>
      </c>
      <c r="C52" s="73" t="s">
        <v>1503</v>
      </c>
      <c r="D52" s="74" t="s">
        <v>1042</v>
      </c>
      <c r="E52" s="66" t="str">
        <f>HYPERLINK("https://youtu.be/_weCIMKKNaY","channel 2")</f>
        <v>channel 2</v>
      </c>
    </row>
    <row r="53">
      <c r="B53" s="72" t="s">
        <v>1502</v>
      </c>
      <c r="C53" s="73" t="s">
        <v>102</v>
      </c>
      <c r="D53" s="74" t="s">
        <v>1335</v>
      </c>
      <c r="E53" s="13" t="str">
        <f>HYPERLINK("https://youtu.be/-gjfr9xJxn0","channel 1")</f>
        <v>channel 1</v>
      </c>
    </row>
    <row r="54">
      <c r="B54" s="72" t="s">
        <v>136</v>
      </c>
      <c r="C54" s="73" t="s">
        <v>265</v>
      </c>
      <c r="D54" s="74" t="s">
        <v>1042</v>
      </c>
      <c r="E54" s="66" t="str">
        <f>HYPERLINK("https://youtu.be/vtbjZlmZT1w","channel 2")</f>
        <v>channel 2</v>
      </c>
    </row>
    <row r="55">
      <c r="B55" s="72" t="s">
        <v>1502</v>
      </c>
      <c r="C55" s="73" t="s">
        <v>193</v>
      </c>
      <c r="D55" s="74" t="s">
        <v>1043</v>
      </c>
      <c r="E55" s="13" t="str">
        <f>HYPERLINK("https://youtu.be/zPgHLYBXN4U","channel 1")</f>
        <v>channel 1</v>
      </c>
    </row>
    <row r="56">
      <c r="B56" s="72" t="s">
        <v>136</v>
      </c>
      <c r="C56" s="73" t="s">
        <v>616</v>
      </c>
      <c r="D56" s="74" t="s">
        <v>1335</v>
      </c>
      <c r="E56" s="66" t="str">
        <f>HYPERLINK("https://youtu.be/vjwU3iC5G5k","channel 2")</f>
        <v>channel 2</v>
      </c>
    </row>
    <row r="57">
      <c r="B57" s="72" t="s">
        <v>1335</v>
      </c>
      <c r="C57" s="73" t="s">
        <v>74</v>
      </c>
      <c r="D57" s="74" t="s">
        <v>1042</v>
      </c>
      <c r="E57" s="13" t="str">
        <f>HYPERLINK("https://youtu.be/_f1FbepdWe8","channel 1")</f>
        <v>channel 1</v>
      </c>
    </row>
    <row r="58">
      <c r="B58" s="72" t="s">
        <v>136</v>
      </c>
      <c r="C58" s="73" t="s">
        <v>477</v>
      </c>
      <c r="D58" s="74" t="s">
        <v>1043</v>
      </c>
      <c r="E58" s="66" t="str">
        <f>HYPERLINK("https://youtu.be/27sHAaUWPkY","channel 2")</f>
        <v>channel 2</v>
      </c>
    </row>
    <row r="59">
      <c r="B59" s="72" t="s">
        <v>1042</v>
      </c>
      <c r="C59" s="73" t="s">
        <v>213</v>
      </c>
      <c r="D59" s="74" t="s">
        <v>1502</v>
      </c>
      <c r="E59" s="13" t="str">
        <f>HYPERLINK("https://youtu.be/YDgw88tH5qQ","channel 1")</f>
        <v>channel 1</v>
      </c>
    </row>
    <row r="60">
      <c r="B60" s="72" t="s">
        <v>1335</v>
      </c>
      <c r="C60" s="73" t="s">
        <v>1504</v>
      </c>
      <c r="D60" s="74" t="s">
        <v>1043</v>
      </c>
      <c r="E60" s="66" t="str">
        <f>HYPERLINK("https://youtu.be/vybtc3rkjwc","channel 2")</f>
        <v>channel 2</v>
      </c>
    </row>
    <row r="61">
      <c r="B61" s="72" t="s">
        <v>136</v>
      </c>
      <c r="C61" s="73" t="s">
        <v>82</v>
      </c>
      <c r="D61" s="74" t="s">
        <v>1502</v>
      </c>
      <c r="E61" s="13" t="str">
        <f>HYPERLINK("https://youtu.be/Gkec1v9IxBg","channel 1")</f>
        <v>channel 1</v>
      </c>
    </row>
    <row r="62">
      <c r="B62" s="72" t="s">
        <v>1042</v>
      </c>
      <c r="C62" s="73" t="s">
        <v>148</v>
      </c>
      <c r="D62" s="74" t="s">
        <v>1043</v>
      </c>
      <c r="E62" s="66" t="str">
        <f>HYPERLINK("https://youtu.be/-A9tgOgde-M","channel 2")</f>
        <v>channel 2</v>
      </c>
    </row>
    <row r="63">
      <c r="B63" s="72" t="s">
        <v>1335</v>
      </c>
      <c r="C63" s="73" t="s">
        <v>214</v>
      </c>
      <c r="D63" s="74" t="s">
        <v>1502</v>
      </c>
      <c r="E63" s="13" t="str">
        <f>HYPERLINK("https://youtu.be/9gr6QupHwJY","channel 1")</f>
        <v>channel 1</v>
      </c>
    </row>
    <row r="64">
      <c r="B64" s="72" t="s">
        <v>1042</v>
      </c>
      <c r="C64" s="73" t="s">
        <v>337</v>
      </c>
      <c r="D64" s="74" t="s">
        <v>136</v>
      </c>
      <c r="E64" s="66" t="str">
        <f>HYPERLINK("https://youtu.be/d-lr9DQKqnI","channel 2")</f>
        <v>channel 2</v>
      </c>
    </row>
    <row r="65">
      <c r="B65" s="72" t="s">
        <v>1043</v>
      </c>
      <c r="C65" s="73" t="s">
        <v>143</v>
      </c>
      <c r="D65" s="74" t="s">
        <v>1502</v>
      </c>
      <c r="E65" s="13" t="str">
        <f>HYPERLINK("https://youtu.be/cgWp5bP9KSM","channel 1")</f>
        <v>channel 1</v>
      </c>
    </row>
    <row r="66">
      <c r="B66" s="72" t="s">
        <v>1335</v>
      </c>
      <c r="C66" s="73" t="s">
        <v>1505</v>
      </c>
      <c r="D66" s="74" t="s">
        <v>136</v>
      </c>
      <c r="E66" s="66" t="str">
        <f>HYPERLINK("https://youtu.be/IravQo7XKug","channel 2")</f>
        <v>channel 2</v>
      </c>
    </row>
    <row r="67">
      <c r="B67" s="2" t="s">
        <v>240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1506</v>
      </c>
      <c r="C69" s="70" t="s">
        <v>749</v>
      </c>
      <c r="D69" s="71" t="s">
        <v>1507</v>
      </c>
      <c r="E69" s="13" t="str">
        <f>HYPERLINK("https://youtu.be/bU4WO_mxFuw","channel 1")</f>
        <v>channel 1</v>
      </c>
    </row>
    <row r="70">
      <c r="B70" s="72" t="s">
        <v>1508</v>
      </c>
      <c r="C70" s="73" t="s">
        <v>1509</v>
      </c>
      <c r="D70" s="74" t="s">
        <v>1510</v>
      </c>
      <c r="E70" s="66" t="str">
        <f>HYPERLINK("https://youtu.be/qDwsvBzz4_A","channel 2")</f>
        <v>channel 2</v>
      </c>
    </row>
    <row r="71">
      <c r="B71" s="72" t="s">
        <v>1511</v>
      </c>
      <c r="C71" s="73" t="s">
        <v>337</v>
      </c>
      <c r="D71" s="74" t="s">
        <v>1506</v>
      </c>
      <c r="E71" s="13" t="str">
        <f>HYPERLINK("https://youtu.be/sp0WLwvuCCk","channel 1")</f>
        <v>channel 1</v>
      </c>
    </row>
    <row r="72">
      <c r="B72" s="72" t="s">
        <v>1508</v>
      </c>
      <c r="C72" s="73" t="s">
        <v>82</v>
      </c>
      <c r="D72" s="74" t="s">
        <v>1507</v>
      </c>
      <c r="E72" s="66" t="str">
        <f>HYPERLINK("https://youtu.be/aGzEZTtnqlU","channel 2")</f>
        <v>channel 2</v>
      </c>
    </row>
    <row r="73">
      <c r="B73" s="72" t="s">
        <v>1511</v>
      </c>
      <c r="C73" s="73" t="s">
        <v>436</v>
      </c>
      <c r="D73" s="74" t="s">
        <v>1510</v>
      </c>
      <c r="E73" s="13" t="str">
        <f>HYPERLINK("https://youtu.be/4S8cidz81ps","channel 1")</f>
        <v>channel 1</v>
      </c>
    </row>
    <row r="74">
      <c r="B74" s="72" t="s">
        <v>1508</v>
      </c>
      <c r="C74" s="73" t="s">
        <v>10</v>
      </c>
      <c r="D74" s="74" t="s">
        <v>1506</v>
      </c>
      <c r="E74" s="66" t="str">
        <f>HYPERLINK("https://youtu.be/UZqNaDB0-4Y","channel 2")</f>
        <v>channel 2</v>
      </c>
    </row>
    <row r="75">
      <c r="B75" s="72" t="s">
        <v>1511</v>
      </c>
      <c r="C75" s="73" t="s">
        <v>1512</v>
      </c>
      <c r="D75" s="74" t="s">
        <v>1507</v>
      </c>
      <c r="E75" s="13" t="str">
        <f>HYPERLINK("https://youtu.be/xD0x7Rns72s","channel 1")</f>
        <v>channel 1</v>
      </c>
    </row>
    <row r="76">
      <c r="B76" s="72" t="s">
        <v>1510</v>
      </c>
      <c r="C76" s="73" t="s">
        <v>34</v>
      </c>
      <c r="D76" s="74" t="s">
        <v>1506</v>
      </c>
      <c r="E76" s="66" t="str">
        <f>HYPERLINK("https://youtu.be/nOc17Wzo8mM","channel 2")</f>
        <v>channel 2</v>
      </c>
    </row>
    <row r="77">
      <c r="B77" s="72" t="s">
        <v>1511</v>
      </c>
      <c r="C77" s="73" t="s">
        <v>277</v>
      </c>
      <c r="D77" s="74" t="s">
        <v>1508</v>
      </c>
      <c r="E77" s="13" t="str">
        <f>HYPERLINK("https://youtu.be/tcZGvC_i_ec","channel 1")</f>
        <v>channel 1</v>
      </c>
    </row>
    <row r="78">
      <c r="B78" s="72" t="s">
        <v>1510</v>
      </c>
      <c r="C78" s="73" t="s">
        <v>18</v>
      </c>
      <c r="D78" s="74" t="s">
        <v>1507</v>
      </c>
      <c r="E78" s="66" t="str">
        <f>HYPERLINK("https://youtu.be/4rHzUGbQP0g","channel 2")</f>
        <v>channel 2</v>
      </c>
    </row>
    <row r="79">
      <c r="B79" s="72" t="s">
        <v>1507</v>
      </c>
      <c r="C79" s="73" t="s">
        <v>1513</v>
      </c>
      <c r="D79" s="74" t="s">
        <v>1506</v>
      </c>
      <c r="E79" s="13" t="str">
        <f>HYPERLINK("https://youtu.be/0SAaFphpxXo","channel 1")</f>
        <v>channel 1</v>
      </c>
    </row>
    <row r="80">
      <c r="B80" s="72" t="s">
        <v>1510</v>
      </c>
      <c r="C80" s="73" t="s">
        <v>1137</v>
      </c>
      <c r="D80" s="74" t="s">
        <v>1508</v>
      </c>
      <c r="E80" s="66" t="str">
        <f>HYPERLINK("https://youtu.be/kfEV4mStcyY","channel 2")</f>
        <v>channel 2</v>
      </c>
    </row>
    <row r="81">
      <c r="B81" s="72" t="s">
        <v>1506</v>
      </c>
      <c r="C81" s="73" t="s">
        <v>493</v>
      </c>
      <c r="D81" s="74" t="s">
        <v>1511</v>
      </c>
      <c r="E81" s="13" t="str">
        <f>HYPERLINK("https://youtu.be/nWRze5bXdYY","channel 1")</f>
        <v>channel 1</v>
      </c>
    </row>
    <row r="82">
      <c r="B82" s="72" t="s">
        <v>1507</v>
      </c>
      <c r="C82" s="73" t="s">
        <v>90</v>
      </c>
      <c r="D82" s="74" t="s">
        <v>1508</v>
      </c>
      <c r="E82" s="66" t="str">
        <f>HYPERLINK("https://youtu.be/oqpoBg_Jp-0","channel 2")</f>
        <v>channel 2</v>
      </c>
    </row>
    <row r="83">
      <c r="B83" s="72" t="s">
        <v>1510</v>
      </c>
      <c r="C83" s="73" t="s">
        <v>237</v>
      </c>
      <c r="D83" s="74" t="s">
        <v>1511</v>
      </c>
      <c r="E83" s="13" t="str">
        <f>HYPERLINK("https://youtu.be/1QsHPtOxPy4","channel 1")</f>
        <v>channel 1</v>
      </c>
    </row>
    <row r="84">
      <c r="B84" s="72" t="s">
        <v>1506</v>
      </c>
      <c r="C84" s="73" t="s">
        <v>145</v>
      </c>
      <c r="D84" s="74" t="s">
        <v>1508</v>
      </c>
      <c r="E84" s="66" t="str">
        <f>HYPERLINK("https://youtu.be/OhO_Xf3z4C4","channel 2")</f>
        <v>channel 2</v>
      </c>
    </row>
    <row r="85">
      <c r="B85" s="72" t="s">
        <v>1507</v>
      </c>
      <c r="C85" s="73" t="s">
        <v>210</v>
      </c>
      <c r="D85" s="74" t="s">
        <v>1511</v>
      </c>
      <c r="E85" s="13" t="str">
        <f>HYPERLINK("https://youtu.be/QS9WY8gM8AI","channel 1")</f>
        <v>channel 1</v>
      </c>
    </row>
    <row r="86">
      <c r="B86" s="72" t="s">
        <v>1506</v>
      </c>
      <c r="C86" s="73" t="s">
        <v>362</v>
      </c>
      <c r="D86" s="74" t="s">
        <v>1510</v>
      </c>
      <c r="E86" s="66" t="str">
        <f>HYPERLINK("https://youtu.be/Lko4pxG1-Cc","channel 2")</f>
        <v>channel 2</v>
      </c>
    </row>
    <row r="87">
      <c r="B87" s="72" t="s">
        <v>1508</v>
      </c>
      <c r="C87" s="73" t="s">
        <v>395</v>
      </c>
      <c r="D87" s="74" t="s">
        <v>1511</v>
      </c>
      <c r="E87" s="13" t="str">
        <f>HYPERLINK("https://youtu.be/d2f551kftpU","channel 1")</f>
        <v>channel 1</v>
      </c>
    </row>
    <row r="88">
      <c r="B88" s="72" t="s">
        <v>1507</v>
      </c>
      <c r="C88" s="73" t="s">
        <v>683</v>
      </c>
      <c r="D88" s="74" t="s">
        <v>1510</v>
      </c>
      <c r="E88" s="66" t="str">
        <f>HYPERLINK("https://youtu.be/kbFsoG_ytJs","channel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334</v>
      </c>
      <c r="C3" s="70" t="s">
        <v>742</v>
      </c>
      <c r="D3" s="71" t="s">
        <v>984</v>
      </c>
      <c r="E3" s="13" t="str">
        <f>HYPERLINK("https://youtu.be/7gt_VgFJICQ","channel 1")</f>
        <v>channel 1</v>
      </c>
    </row>
    <row r="4">
      <c r="B4" s="72" t="s">
        <v>1419</v>
      </c>
      <c r="C4" s="73" t="s">
        <v>97</v>
      </c>
      <c r="D4" s="74" t="s">
        <v>557</v>
      </c>
      <c r="E4" s="66" t="str">
        <f>HYPERLINK("https://youtu.be/5by8YudH0iQ","channel 2")</f>
        <v>channel 2</v>
      </c>
    </row>
    <row r="5">
      <c r="B5" s="72" t="s">
        <v>1113</v>
      </c>
      <c r="C5" s="73" t="s">
        <v>77</v>
      </c>
      <c r="D5" s="74" t="s">
        <v>334</v>
      </c>
      <c r="E5" s="13" t="str">
        <f>HYPERLINK("https://youtu.be/89VS5dxZNvU","channel 1")</f>
        <v>channel 1</v>
      </c>
    </row>
    <row r="6">
      <c r="B6" s="72" t="s">
        <v>1419</v>
      </c>
      <c r="C6" s="73" t="s">
        <v>37</v>
      </c>
      <c r="D6" s="74" t="s">
        <v>984</v>
      </c>
      <c r="E6" s="66" t="str">
        <f>HYPERLINK("https://youtu.be/PChKMEZDTyc","channel 2")</f>
        <v>channel 2</v>
      </c>
    </row>
    <row r="7">
      <c r="B7" s="72" t="s">
        <v>1113</v>
      </c>
      <c r="C7" s="73" t="s">
        <v>108</v>
      </c>
      <c r="D7" s="74" t="s">
        <v>557</v>
      </c>
      <c r="E7" s="13" t="str">
        <f>HYPERLINK("https://youtu.be/W69KcroUGnM","channel 1")</f>
        <v>channel 1</v>
      </c>
    </row>
    <row r="8">
      <c r="B8" s="72" t="s">
        <v>1419</v>
      </c>
      <c r="C8" s="73" t="s">
        <v>106</v>
      </c>
      <c r="D8" s="74" t="s">
        <v>334</v>
      </c>
      <c r="E8" s="66" t="str">
        <f>HYPERLINK("https://youtu.be/CHRYIk3E7ik","channel 2")</f>
        <v>channel 2</v>
      </c>
    </row>
    <row r="9">
      <c r="B9" s="72" t="s">
        <v>1113</v>
      </c>
      <c r="C9" s="73" t="s">
        <v>30</v>
      </c>
      <c r="D9" s="74" t="s">
        <v>984</v>
      </c>
      <c r="E9" s="13" t="str">
        <f>HYPERLINK("https://youtu.be/vlFJo0smCOs","channel 1")</f>
        <v>channel 1</v>
      </c>
    </row>
    <row r="10">
      <c r="B10" s="72" t="s">
        <v>557</v>
      </c>
      <c r="C10" s="73" t="s">
        <v>322</v>
      </c>
      <c r="D10" s="74" t="s">
        <v>334</v>
      </c>
      <c r="E10" s="66" t="str">
        <f>HYPERLINK("https://youtu.be/-CXAWNmWNk8","channel 2")</f>
        <v>channel 2</v>
      </c>
    </row>
    <row r="11">
      <c r="B11" s="72" t="s">
        <v>1113</v>
      </c>
      <c r="C11" s="73" t="s">
        <v>230</v>
      </c>
      <c r="D11" s="74" t="s">
        <v>1419</v>
      </c>
      <c r="E11" s="13" t="str">
        <f>HYPERLINK("https://youtu.be/hQV6AeIKFJ8","channel 1")</f>
        <v>channel 1</v>
      </c>
    </row>
    <row r="12">
      <c r="B12" s="72" t="s">
        <v>557</v>
      </c>
      <c r="C12" s="73" t="s">
        <v>228</v>
      </c>
      <c r="D12" s="74" t="s">
        <v>984</v>
      </c>
      <c r="E12" s="66" t="str">
        <f>HYPERLINK("https://youtu.be/p4jU6nst9FU","channel 2")</f>
        <v>channel 2</v>
      </c>
    </row>
    <row r="13">
      <c r="B13" s="72" t="s">
        <v>984</v>
      </c>
      <c r="C13" s="73" t="s">
        <v>569</v>
      </c>
      <c r="D13" s="74" t="s">
        <v>334</v>
      </c>
      <c r="E13" s="13" t="str">
        <f>HYPERLINK("https://youtu.be/yS-_dG0Dhao","channel 1")</f>
        <v>channel 1</v>
      </c>
    </row>
    <row r="14">
      <c r="B14" s="72" t="s">
        <v>557</v>
      </c>
      <c r="C14" s="73" t="s">
        <v>226</v>
      </c>
      <c r="D14" s="74" t="s">
        <v>1419</v>
      </c>
      <c r="E14" s="66" t="str">
        <f>HYPERLINK("https://youtu.be/YSTkJ460HDE","channel 2")</f>
        <v>channel 2</v>
      </c>
    </row>
    <row r="15">
      <c r="B15" s="72" t="s">
        <v>334</v>
      </c>
      <c r="C15" s="73" t="s">
        <v>47</v>
      </c>
      <c r="D15" s="74" t="s">
        <v>1113</v>
      </c>
      <c r="E15" s="13" t="str">
        <f>HYPERLINK("https://youtu.be/E3JNeyf7ecI","channel 1")</f>
        <v>channel 1</v>
      </c>
    </row>
    <row r="16">
      <c r="B16" s="72" t="s">
        <v>984</v>
      </c>
      <c r="C16" s="73" t="s">
        <v>148</v>
      </c>
      <c r="D16" s="74" t="s">
        <v>1419</v>
      </c>
      <c r="E16" s="66" t="str">
        <f>HYPERLINK("https://youtu.be/iTbLJeyRPLE","channel 2")</f>
        <v>channel 2</v>
      </c>
    </row>
    <row r="17">
      <c r="B17" s="72" t="s">
        <v>557</v>
      </c>
      <c r="C17" s="73" t="s">
        <v>10</v>
      </c>
      <c r="D17" s="74" t="s">
        <v>1113</v>
      </c>
      <c r="E17" s="13" t="str">
        <f>HYPERLINK("https://youtu.be/OUF94H2aHC4","channel 1")</f>
        <v>channel 1</v>
      </c>
    </row>
    <row r="18">
      <c r="B18" s="72" t="s">
        <v>334</v>
      </c>
      <c r="C18" s="73" t="s">
        <v>55</v>
      </c>
      <c r="D18" s="74" t="s">
        <v>1419</v>
      </c>
      <c r="E18" s="66" t="str">
        <f>HYPERLINK("https://youtu.be/j8N_vboFe_A","channel 2")</f>
        <v>channel 2</v>
      </c>
    </row>
    <row r="19">
      <c r="B19" s="72" t="s">
        <v>984</v>
      </c>
      <c r="C19" s="73" t="s">
        <v>308</v>
      </c>
      <c r="D19" s="74" t="s">
        <v>1113</v>
      </c>
      <c r="E19" s="13" t="str">
        <f>HYPERLINK("https://youtu.be/bHEMJb9vF4Q","channel 1")</f>
        <v>channel 1</v>
      </c>
    </row>
    <row r="20">
      <c r="B20" s="72" t="s">
        <v>334</v>
      </c>
      <c r="C20" s="73" t="s">
        <v>106</v>
      </c>
      <c r="D20" s="74" t="s">
        <v>557</v>
      </c>
      <c r="E20" s="66" t="str">
        <f>HYPERLINK("https://youtu.be/LJGdeJ4GjJo","channel 2")</f>
        <v>channel 2</v>
      </c>
    </row>
    <row r="21">
      <c r="B21" s="72" t="s">
        <v>1419</v>
      </c>
      <c r="C21" s="73" t="s">
        <v>671</v>
      </c>
      <c r="D21" s="74" t="s">
        <v>1113</v>
      </c>
      <c r="E21" s="13" t="str">
        <f>HYPERLINK("https://youtu.be/cgIC-UbZ-UA","channel 1")</f>
        <v>channel 1</v>
      </c>
    </row>
    <row r="22">
      <c r="B22" s="72" t="s">
        <v>984</v>
      </c>
      <c r="C22" s="73" t="s">
        <v>30</v>
      </c>
      <c r="D22" s="74" t="s">
        <v>557</v>
      </c>
      <c r="E22" s="66" t="str">
        <f>HYPERLINK("https://youtu.be/nyMh0k7FWnc","channel 2")</f>
        <v>channel 2</v>
      </c>
    </row>
    <row r="23">
      <c r="B23" s="2" t="s">
        <v>41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1514</v>
      </c>
      <c r="C25" s="70" t="s">
        <v>214</v>
      </c>
      <c r="D25" s="71" t="s">
        <v>1515</v>
      </c>
      <c r="E25" s="13" t="str">
        <f>HYPERLINK("https://youtu.be/VehxgiZH_gg","channel 1")</f>
        <v>channel 1</v>
      </c>
    </row>
    <row r="26">
      <c r="B26" s="72" t="s">
        <v>1050</v>
      </c>
      <c r="C26" s="73" t="s">
        <v>103</v>
      </c>
      <c r="D26" s="74" t="s">
        <v>532</v>
      </c>
      <c r="E26" s="66" t="str">
        <f>HYPERLINK("https://youtu.be/00oEW6pzokI","channel 2")</f>
        <v>channel 2</v>
      </c>
    </row>
    <row r="27">
      <c r="B27" s="72" t="s">
        <v>1187</v>
      </c>
      <c r="C27" s="73" t="s">
        <v>213</v>
      </c>
      <c r="D27" s="74" t="s">
        <v>1514</v>
      </c>
      <c r="E27" s="13" t="str">
        <f>HYPERLINK("https://youtu.be/rUFixmvV3RI","channel 1")</f>
        <v>channel 1</v>
      </c>
    </row>
    <row r="28">
      <c r="B28" s="72" t="s">
        <v>1050</v>
      </c>
      <c r="C28" s="73" t="s">
        <v>145</v>
      </c>
      <c r="D28" s="74" t="s">
        <v>1515</v>
      </c>
      <c r="E28" s="66" t="str">
        <f>HYPERLINK("https://youtu.be/eLP9WBzOvFg","channel 2")</f>
        <v>channel 2</v>
      </c>
    </row>
    <row r="29">
      <c r="B29" s="72" t="s">
        <v>1187</v>
      </c>
      <c r="C29" s="73" t="s">
        <v>251</v>
      </c>
      <c r="D29" s="74" t="s">
        <v>532</v>
      </c>
      <c r="E29" s="13" t="str">
        <f>HYPERLINK("https://youtu.be/vtGbNMZsJTg","channel 1")</f>
        <v>channel 1</v>
      </c>
    </row>
    <row r="30">
      <c r="B30" s="72" t="s">
        <v>1050</v>
      </c>
      <c r="C30" s="73" t="s">
        <v>223</v>
      </c>
      <c r="D30" s="74" t="s">
        <v>1514</v>
      </c>
      <c r="E30" s="66" t="str">
        <f>HYPERLINK("https://youtu.be/ERnbc9y5PY0","channel 2")</f>
        <v>channel 2</v>
      </c>
    </row>
    <row r="31">
      <c r="B31" s="72" t="s">
        <v>1187</v>
      </c>
      <c r="C31" s="73" t="s">
        <v>113</v>
      </c>
      <c r="D31" s="74" t="s">
        <v>1515</v>
      </c>
      <c r="E31" s="13" t="str">
        <f>HYPERLINK("https://youtu.be/UHSCpDXVsTI","channel 1")</f>
        <v>channel 1</v>
      </c>
    </row>
    <row r="32">
      <c r="B32" s="72" t="s">
        <v>532</v>
      </c>
      <c r="C32" s="73" t="s">
        <v>37</v>
      </c>
      <c r="D32" s="74" t="s">
        <v>1514</v>
      </c>
      <c r="E32" s="66" t="str">
        <f>HYPERLINK("https://youtu.be/pVNxJUBnrwc","channel 2")</f>
        <v>channel 2</v>
      </c>
    </row>
    <row r="33">
      <c r="B33" s="72" t="s">
        <v>1187</v>
      </c>
      <c r="C33" s="73" t="s">
        <v>223</v>
      </c>
      <c r="D33" s="74" t="s">
        <v>1050</v>
      </c>
      <c r="E33" s="13" t="str">
        <f>HYPERLINK("https://youtu.be/GctHwY4dfK4","channel 1")</f>
        <v>channel 1</v>
      </c>
    </row>
    <row r="34">
      <c r="B34" s="72" t="s">
        <v>532</v>
      </c>
      <c r="C34" s="73" t="s">
        <v>698</v>
      </c>
      <c r="D34" s="74" t="s">
        <v>1515</v>
      </c>
      <c r="E34" s="66" t="str">
        <f>HYPERLINK("https://youtu.be/r-xurNWDcvo","channel 2")</f>
        <v>channel 2</v>
      </c>
    </row>
    <row r="35">
      <c r="B35" s="72" t="s">
        <v>1515</v>
      </c>
      <c r="C35" s="73" t="s">
        <v>31</v>
      </c>
      <c r="D35" s="74" t="s">
        <v>1514</v>
      </c>
      <c r="E35" s="13" t="str">
        <f>HYPERLINK("https://youtu.be/VSx3Hg5yPWY","channel 1")</f>
        <v>channel 1</v>
      </c>
    </row>
    <row r="36">
      <c r="B36" s="72" t="s">
        <v>532</v>
      </c>
      <c r="C36" s="73" t="s">
        <v>103</v>
      </c>
      <c r="D36" s="74" t="s">
        <v>1050</v>
      </c>
      <c r="E36" s="66" t="str">
        <f>HYPERLINK("https://youtu.be/xtPnkffvTwk","channel 2")</f>
        <v>channel 2</v>
      </c>
    </row>
    <row r="37">
      <c r="B37" s="72" t="s">
        <v>1514</v>
      </c>
      <c r="C37" s="73" t="s">
        <v>35</v>
      </c>
      <c r="D37" s="74" t="s">
        <v>1187</v>
      </c>
      <c r="E37" s="13" t="str">
        <f>HYPERLINK("https://youtu.be/Rm2THvtcoIA","channel 1")</f>
        <v>channel 1</v>
      </c>
    </row>
    <row r="38">
      <c r="B38" s="72" t="s">
        <v>1515</v>
      </c>
      <c r="C38" s="73" t="s">
        <v>179</v>
      </c>
      <c r="D38" s="74" t="s">
        <v>1050</v>
      </c>
      <c r="E38" s="66" t="str">
        <f>HYPERLINK("https://youtu.be/8hjUXlke-DY","channel 2")</f>
        <v>channel 2</v>
      </c>
    </row>
    <row r="39">
      <c r="B39" s="72" t="s">
        <v>532</v>
      </c>
      <c r="C39" s="73" t="s">
        <v>47</v>
      </c>
      <c r="D39" s="74" t="s">
        <v>1187</v>
      </c>
      <c r="E39" s="13" t="str">
        <f>HYPERLINK("https://youtu.be/3H__Wo0j1nA","channel 1")</f>
        <v>channel 1</v>
      </c>
    </row>
    <row r="40">
      <c r="B40" s="72" t="s">
        <v>1514</v>
      </c>
      <c r="C40" s="73" t="s">
        <v>97</v>
      </c>
      <c r="D40" s="74" t="s">
        <v>1050</v>
      </c>
      <c r="E40" s="66" t="str">
        <f>HYPERLINK("https://youtu.be/VWnfV2w-Oqc","channel 2")</f>
        <v>channel 2</v>
      </c>
    </row>
    <row r="41">
      <c r="B41" s="72" t="s">
        <v>1515</v>
      </c>
      <c r="C41" s="73" t="s">
        <v>108</v>
      </c>
      <c r="D41" s="74" t="s">
        <v>1187</v>
      </c>
      <c r="E41" s="13" t="str">
        <f>HYPERLINK("https://youtu.be/h7eE1qLb6ko","channel 1")</f>
        <v>channel 1</v>
      </c>
    </row>
    <row r="42">
      <c r="B42" s="72" t="s">
        <v>1514</v>
      </c>
      <c r="C42" s="73" t="s">
        <v>397</v>
      </c>
      <c r="D42" s="74" t="s">
        <v>532</v>
      </c>
      <c r="E42" s="66" t="str">
        <f>HYPERLINK("https://youtu.be/ydF1hXqx1-I","channel 2")</f>
        <v>channel 2</v>
      </c>
    </row>
    <row r="43">
      <c r="B43" s="72" t="s">
        <v>1050</v>
      </c>
      <c r="C43" s="73" t="s">
        <v>436</v>
      </c>
      <c r="D43" s="74" t="s">
        <v>1187</v>
      </c>
      <c r="E43" s="13" t="str">
        <f>HYPERLINK("https://youtu.be/q0HvIUP5jn0","channel 1")</f>
        <v>channel 1</v>
      </c>
    </row>
    <row r="44">
      <c r="B44" s="72" t="s">
        <v>1515</v>
      </c>
      <c r="C44" s="73" t="s">
        <v>148</v>
      </c>
      <c r="D44" s="74" t="s">
        <v>532</v>
      </c>
      <c r="E44" s="66" t="str">
        <f>HYPERLINK("https://youtu.be/lzoyZ4mk6J8","channel 2")</f>
        <v>channel 2</v>
      </c>
    </row>
    <row r="45">
      <c r="B45" s="2" t="s">
        <v>546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1312</v>
      </c>
      <c r="C47" s="70" t="s">
        <v>77</v>
      </c>
      <c r="D47" s="71" t="s">
        <v>1518</v>
      </c>
      <c r="E47" s="13" t="str">
        <f>HYPERLINK("https://youtu.be/og5FGgnj4kU","channel 1")</f>
        <v>channel 1</v>
      </c>
    </row>
    <row r="48">
      <c r="B48" s="72" t="s">
        <v>1519</v>
      </c>
      <c r="C48" s="98" t="s">
        <v>55</v>
      </c>
      <c r="D48" s="74" t="s">
        <v>1520</v>
      </c>
      <c r="E48" s="66" t="str">
        <f>HYPERLINK("https://youtu.be/s4Z2J1MzRZM","channel 2")</f>
        <v>channel 2</v>
      </c>
    </row>
    <row r="49">
      <c r="B49" s="72" t="s">
        <v>673</v>
      </c>
      <c r="C49" s="73" t="s">
        <v>255</v>
      </c>
      <c r="D49" s="74" t="s">
        <v>1312</v>
      </c>
      <c r="E49" s="13" t="str">
        <f>HYPERLINK("https://youtu.be/q4bl1ZHjXCk","channel 1")</f>
        <v>channel 1</v>
      </c>
    </row>
    <row r="50">
      <c r="B50" s="72" t="s">
        <v>1519</v>
      </c>
      <c r="C50" s="73" t="s">
        <v>296</v>
      </c>
      <c r="D50" s="74" t="s">
        <v>1518</v>
      </c>
      <c r="E50" s="66" t="str">
        <f>HYPERLINK("https://youtu.be/DMoFSagM-Eg","channel 2")</f>
        <v>channel 2</v>
      </c>
    </row>
    <row r="51">
      <c r="B51" s="72" t="s">
        <v>673</v>
      </c>
      <c r="C51" s="73" t="s">
        <v>277</v>
      </c>
      <c r="D51" s="74" t="s">
        <v>1520</v>
      </c>
      <c r="E51" s="13" t="str">
        <f>HYPERLINK("https://youtu.be/8-I3Y28Wsu4","channel 1")</f>
        <v>channel 1</v>
      </c>
    </row>
    <row r="52">
      <c r="B52" s="72" t="s">
        <v>1519</v>
      </c>
      <c r="C52" s="73" t="s">
        <v>57</v>
      </c>
      <c r="D52" s="74" t="s">
        <v>1312</v>
      </c>
      <c r="E52" s="66" t="str">
        <f>HYPERLINK("https://youtu.be/4k06xdYDthY","channel 2")</f>
        <v>channel 2</v>
      </c>
    </row>
    <row r="53">
      <c r="B53" s="72" t="s">
        <v>673</v>
      </c>
      <c r="C53" s="73" t="s">
        <v>99</v>
      </c>
      <c r="D53" s="74" t="s">
        <v>1518</v>
      </c>
      <c r="E53" s="13" t="str">
        <f>HYPERLINK("https://youtu.be/06LQDvSkIvU","channel 1")</f>
        <v>channel 1</v>
      </c>
    </row>
    <row r="54">
      <c r="B54" s="72" t="s">
        <v>1520</v>
      </c>
      <c r="C54" s="73" t="s">
        <v>93</v>
      </c>
      <c r="D54" s="74" t="s">
        <v>1312</v>
      </c>
      <c r="E54" s="66" t="str">
        <f>HYPERLINK("https://youtu.be/zgNNb-S2Z9A","channel 2")</f>
        <v>channel 2</v>
      </c>
    </row>
    <row r="55">
      <c r="B55" s="72" t="s">
        <v>673</v>
      </c>
      <c r="C55" s="73" t="s">
        <v>37</v>
      </c>
      <c r="D55" s="74" t="s">
        <v>1519</v>
      </c>
      <c r="E55" s="13" t="str">
        <f>HYPERLINK("https://youtu.be/7NtxiuGA_8A","channel 1")</f>
        <v>channel 1</v>
      </c>
    </row>
    <row r="56">
      <c r="B56" s="72" t="s">
        <v>1520</v>
      </c>
      <c r="C56" s="73" t="s">
        <v>77</v>
      </c>
      <c r="D56" s="74" t="s">
        <v>1518</v>
      </c>
      <c r="E56" s="66" t="str">
        <f>HYPERLINK("https://youtu.be/EGj74V_wYm0","channel 2")</f>
        <v>channel 2</v>
      </c>
    </row>
    <row r="57">
      <c r="B57" s="72" t="s">
        <v>1518</v>
      </c>
      <c r="C57" s="73" t="s">
        <v>54</v>
      </c>
      <c r="D57" s="74" t="s">
        <v>1312</v>
      </c>
      <c r="E57" s="13" t="str">
        <f>HYPERLINK("https://youtu.be/7rIqaW-JVI0","channel 1")</f>
        <v>channel 1</v>
      </c>
    </row>
    <row r="58">
      <c r="B58" s="72" t="s">
        <v>1520</v>
      </c>
      <c r="C58" s="73" t="s">
        <v>156</v>
      </c>
      <c r="D58" s="74" t="s">
        <v>1519</v>
      </c>
      <c r="E58" s="66" t="str">
        <f>HYPERLINK("https://youtu.be/ZguK7N0mNF8","channel 2")</f>
        <v>channel 2</v>
      </c>
    </row>
    <row r="59">
      <c r="B59" s="72" t="s">
        <v>1312</v>
      </c>
      <c r="C59" s="73" t="s">
        <v>90</v>
      </c>
      <c r="D59" s="74" t="s">
        <v>673</v>
      </c>
      <c r="E59" s="13" t="str">
        <f>HYPERLINK("https://youtu.be/rs7JQbI3bHw","channel 1")</f>
        <v>channel 1</v>
      </c>
    </row>
    <row r="60">
      <c r="B60" s="72" t="s">
        <v>1518</v>
      </c>
      <c r="C60" s="73" t="s">
        <v>34</v>
      </c>
      <c r="D60" s="74" t="s">
        <v>1519</v>
      </c>
      <c r="E60" s="66" t="str">
        <f>HYPERLINK("https://youtu.be/EGUdGxR5Dt0","channel 2")</f>
        <v>channel 2</v>
      </c>
    </row>
    <row r="61">
      <c r="B61" s="72" t="s">
        <v>1520</v>
      </c>
      <c r="C61" s="73" t="s">
        <v>135</v>
      </c>
      <c r="D61" s="74" t="s">
        <v>673</v>
      </c>
      <c r="E61" s="13" t="str">
        <f>HYPERLINK("https://youtu.be/EEXliib4iVE","channel 1")</f>
        <v>channel 1</v>
      </c>
    </row>
    <row r="62">
      <c r="B62" s="72" t="s">
        <v>1312</v>
      </c>
      <c r="C62" s="73" t="s">
        <v>142</v>
      </c>
      <c r="D62" s="74" t="s">
        <v>1519</v>
      </c>
      <c r="E62" s="66" t="str">
        <f>HYPERLINK("https://youtu.be/D3rNqjgXBdA","channel 2")</f>
        <v>channel 2</v>
      </c>
    </row>
    <row r="63">
      <c r="B63" s="72" t="s">
        <v>1518</v>
      </c>
      <c r="C63" s="73" t="s">
        <v>59</v>
      </c>
      <c r="D63" s="74" t="s">
        <v>673</v>
      </c>
      <c r="E63" s="13" t="str">
        <f>HYPERLINK("https://youtu.be/ZZmSprGcqtg","channel 1")</f>
        <v>channel 1</v>
      </c>
    </row>
    <row r="64">
      <c r="B64" s="72" t="s">
        <v>1312</v>
      </c>
      <c r="C64" s="73" t="s">
        <v>216</v>
      </c>
      <c r="D64" s="74" t="s">
        <v>1520</v>
      </c>
      <c r="E64" s="66" t="str">
        <f>HYPERLINK("https://youtu.be/2kbiG1DY3CY","channel 2")</f>
        <v>channel 2</v>
      </c>
    </row>
    <row r="65">
      <c r="B65" s="72" t="s">
        <v>1519</v>
      </c>
      <c r="C65" s="73" t="s">
        <v>179</v>
      </c>
      <c r="D65" s="74" t="s">
        <v>673</v>
      </c>
      <c r="E65" s="13" t="str">
        <f>HYPERLINK("https://youtu.be/i8fX2-LkCxw","channel 1")</f>
        <v>channel 1</v>
      </c>
    </row>
    <row r="66">
      <c r="B66" s="72" t="s">
        <v>1518</v>
      </c>
      <c r="C66" s="73" t="s">
        <v>32</v>
      </c>
      <c r="D66" s="74" t="s">
        <v>1520</v>
      </c>
      <c r="E66" s="66" t="str">
        <f>HYPERLINK("https://youtu.be/wVNTPmq2QXo","channel 2")</f>
        <v>channel 2</v>
      </c>
    </row>
    <row r="67">
      <c r="B67" s="2" t="s">
        <v>1425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215</v>
      </c>
      <c r="C69" s="70" t="s">
        <v>478</v>
      </c>
      <c r="D69" s="71" t="s">
        <v>762</v>
      </c>
      <c r="E69" s="13" t="str">
        <f>HYPERLINK("https://youtu.be/gXM2Ug0OfrE","channel 1")</f>
        <v>channel 1</v>
      </c>
    </row>
    <row r="70">
      <c r="B70" s="72" t="s">
        <v>1042</v>
      </c>
      <c r="C70" s="73" t="s">
        <v>307</v>
      </c>
      <c r="D70" s="74" t="s">
        <v>1499</v>
      </c>
      <c r="E70" s="66" t="str">
        <f>HYPERLINK("https://youtu.be/SRBJdxuWiFQ","channel 2")</f>
        <v>channel 2</v>
      </c>
    </row>
    <row r="71">
      <c r="B71" s="72" t="s">
        <v>873</v>
      </c>
      <c r="C71" s="73" t="s">
        <v>116</v>
      </c>
      <c r="D71" s="74" t="s">
        <v>215</v>
      </c>
      <c r="E71" s="13" t="str">
        <f>HYPERLINK("https://youtu.be/g46prdftx-o","channel 1")</f>
        <v>channel 1</v>
      </c>
    </row>
    <row r="72">
      <c r="B72" s="72" t="s">
        <v>1042</v>
      </c>
      <c r="C72" s="73" t="s">
        <v>460</v>
      </c>
      <c r="D72" s="74" t="s">
        <v>762</v>
      </c>
      <c r="E72" s="66" t="str">
        <f>HYPERLINK("https://youtu.be/d0vPQXKdPpI","channel 2")</f>
        <v>channel 2</v>
      </c>
    </row>
    <row r="73">
      <c r="B73" s="72" t="s">
        <v>873</v>
      </c>
      <c r="C73" s="73" t="s">
        <v>10</v>
      </c>
      <c r="D73" s="74" t="s">
        <v>1499</v>
      </c>
      <c r="E73" s="13" t="str">
        <f>HYPERLINK("https://youtu.be/eKoIT_omu_k","channel 1")</f>
        <v>channel 1</v>
      </c>
    </row>
    <row r="74">
      <c r="B74" s="72" t="s">
        <v>1042</v>
      </c>
      <c r="C74" s="73" t="s">
        <v>296</v>
      </c>
      <c r="D74" s="74" t="s">
        <v>215</v>
      </c>
      <c r="E74" s="66" t="str">
        <f>HYPERLINK("https://youtu.be/Pdu71j2x7Sc","channel 2")</f>
        <v>channel 2</v>
      </c>
    </row>
    <row r="75">
      <c r="B75" s="72" t="s">
        <v>873</v>
      </c>
      <c r="C75" s="73" t="s">
        <v>522</v>
      </c>
      <c r="D75" s="74" t="s">
        <v>762</v>
      </c>
      <c r="E75" s="13" t="str">
        <f>HYPERLINK("https://youtu.be/bdJnDhQlfNA","channel 1")</f>
        <v>channel 1</v>
      </c>
    </row>
    <row r="76">
      <c r="B76" s="72" t="s">
        <v>1499</v>
      </c>
      <c r="C76" s="73" t="s">
        <v>894</v>
      </c>
      <c r="D76" s="74" t="s">
        <v>215</v>
      </c>
      <c r="E76" s="66" t="str">
        <f>HYPERLINK("https://youtu.be/H2ffx_fpbko","channel 2")</f>
        <v>channel 2</v>
      </c>
    </row>
    <row r="77">
      <c r="B77" s="72" t="s">
        <v>873</v>
      </c>
      <c r="C77" s="73" t="s">
        <v>10</v>
      </c>
      <c r="D77" s="74" t="s">
        <v>1042</v>
      </c>
      <c r="E77" s="13" t="str">
        <f>HYPERLINK("https://youtu.be/mj3CnKDNcYU","channel 1")</f>
        <v>channel 1</v>
      </c>
    </row>
    <row r="78">
      <c r="B78" s="72" t="s">
        <v>1499</v>
      </c>
      <c r="C78" s="73" t="s">
        <v>570</v>
      </c>
      <c r="D78" s="74" t="s">
        <v>762</v>
      </c>
      <c r="E78" s="66" t="str">
        <f>HYPERLINK("https://youtu.be/BFfJ0D1T-FY","channel 2")</f>
        <v>channel 2</v>
      </c>
    </row>
    <row r="79">
      <c r="B79" s="72" t="s">
        <v>762</v>
      </c>
      <c r="C79" s="73" t="s">
        <v>224</v>
      </c>
      <c r="D79" s="74" t="s">
        <v>215</v>
      </c>
      <c r="E79" s="13" t="str">
        <f>HYPERLINK("https://youtu.be/-h7xbgCskvU","channel 1")</f>
        <v>channel 1</v>
      </c>
    </row>
    <row r="80">
      <c r="B80" s="72" t="s">
        <v>1499</v>
      </c>
      <c r="C80" s="73" t="s">
        <v>214</v>
      </c>
      <c r="D80" s="74" t="s">
        <v>1042</v>
      </c>
      <c r="E80" s="66" t="str">
        <f>HYPERLINK("https://youtu.be/D_ERoU3whNU","channel 2")</f>
        <v>channel 2</v>
      </c>
    </row>
    <row r="81">
      <c r="B81" s="72" t="s">
        <v>215</v>
      </c>
      <c r="C81" s="73" t="s">
        <v>49</v>
      </c>
      <c r="D81" s="74" t="s">
        <v>873</v>
      </c>
      <c r="E81" s="13" t="str">
        <f>HYPERLINK("https://youtu.be/pC5i7W0D3jc","channel 1")</f>
        <v>channel 1</v>
      </c>
    </row>
    <row r="82">
      <c r="B82" s="72" t="s">
        <v>762</v>
      </c>
      <c r="C82" s="73" t="s">
        <v>141</v>
      </c>
      <c r="D82" s="74" t="s">
        <v>1042</v>
      </c>
      <c r="E82" s="66" t="str">
        <f>HYPERLINK("https://youtu.be/4Du66J6_JDc","channel 2")</f>
        <v>channel 2</v>
      </c>
    </row>
    <row r="83">
      <c r="B83" s="72" t="s">
        <v>1499</v>
      </c>
      <c r="C83" s="73" t="s">
        <v>343</v>
      </c>
      <c r="D83" s="74" t="s">
        <v>873</v>
      </c>
      <c r="E83" s="13" t="str">
        <f>HYPERLINK("https://youtu.be/h14G-zaNAUg","channel 1")</f>
        <v>channel 1</v>
      </c>
    </row>
    <row r="84">
      <c r="B84" s="72" t="s">
        <v>215</v>
      </c>
      <c r="C84" s="73" t="s">
        <v>232</v>
      </c>
      <c r="D84" s="74" t="s">
        <v>1042</v>
      </c>
      <c r="E84" s="66" t="str">
        <f>HYPERLINK("https://youtu.be/V7a-602T-rQ","channel 2")</f>
        <v>channel 2</v>
      </c>
    </row>
    <row r="85">
      <c r="B85" s="72" t="s">
        <v>762</v>
      </c>
      <c r="C85" s="73" t="s">
        <v>10</v>
      </c>
      <c r="D85" s="74" t="s">
        <v>873</v>
      </c>
      <c r="E85" s="13" t="str">
        <f>HYPERLINK("https://youtu.be/Ny-T2NR_uA4","channel 1")</f>
        <v>channel 1</v>
      </c>
    </row>
    <row r="86">
      <c r="B86" s="72" t="s">
        <v>215</v>
      </c>
      <c r="C86" s="73" t="s">
        <v>216</v>
      </c>
      <c r="D86" s="74" t="s">
        <v>1499</v>
      </c>
      <c r="E86" s="66" t="str">
        <f>HYPERLINK("https://youtu.be/gf6387hULWk","channel 2")</f>
        <v>channel 2</v>
      </c>
    </row>
    <row r="87">
      <c r="B87" s="72" t="s">
        <v>1042</v>
      </c>
      <c r="C87" s="73" t="s">
        <v>108</v>
      </c>
      <c r="D87" s="74" t="s">
        <v>873</v>
      </c>
      <c r="E87" s="13" t="str">
        <f>HYPERLINK("https://youtu.be/XFpBZ4nf9i8","channel 1")</f>
        <v>channel 1</v>
      </c>
    </row>
    <row r="88">
      <c r="B88" s="72" t="s">
        <v>762</v>
      </c>
      <c r="C88" s="73" t="s">
        <v>216</v>
      </c>
      <c r="D88" s="74" t="s">
        <v>1499</v>
      </c>
      <c r="E88" s="66" t="str">
        <f>HYPERLINK("https://youtu.be/_sV-ZcqvhDU","channel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1182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1429</v>
      </c>
      <c r="C3" s="12" t="s">
        <v>138</v>
      </c>
      <c r="D3" s="28" t="s">
        <v>1516</v>
      </c>
      <c r="E3" s="13" t="str">
        <f>HYPERLINK("https://youtu.be/-qsZcLGBa0o","channel 1")</f>
        <v>channel 1</v>
      </c>
    </row>
    <row r="4">
      <c r="B4" s="10" t="s">
        <v>1517</v>
      </c>
      <c r="C4" s="12" t="s">
        <v>577</v>
      </c>
      <c r="D4" s="10" t="s">
        <v>1379</v>
      </c>
      <c r="E4" s="66" t="str">
        <f>HYPERLINK("https://youtu.be/KTMT8S5nqLY","channel 2")</f>
        <v>channel 2</v>
      </c>
    </row>
    <row r="5">
      <c r="B5" s="10" t="s">
        <v>626</v>
      </c>
      <c r="C5" s="12" t="s">
        <v>145</v>
      </c>
      <c r="D5" s="10" t="s">
        <v>1429</v>
      </c>
      <c r="E5" s="13" t="str">
        <f>HYPERLINK("https://youtu.be/ZYKWUteqMCY","channel 1")</f>
        <v>channel 1</v>
      </c>
    </row>
    <row r="6">
      <c r="B6" s="10" t="s">
        <v>1517</v>
      </c>
      <c r="C6" s="12" t="s">
        <v>210</v>
      </c>
      <c r="D6" s="28" t="s">
        <v>1516</v>
      </c>
      <c r="E6" s="66" t="str">
        <f>HYPERLINK("https://youtu.be/obeu0eBIMw0","channel 2")</f>
        <v>channel 2</v>
      </c>
    </row>
    <row r="7">
      <c r="B7" s="10" t="s">
        <v>626</v>
      </c>
      <c r="C7" s="12" t="s">
        <v>106</v>
      </c>
      <c r="D7" s="10" t="s">
        <v>1379</v>
      </c>
      <c r="E7" s="13" t="str">
        <f>HYPERLINK("https://youtu.be/7h40hSW3O-k","channel 1")</f>
        <v>channel 1</v>
      </c>
    </row>
    <row r="8">
      <c r="B8" s="10" t="s">
        <v>1517</v>
      </c>
      <c r="C8" s="12" t="s">
        <v>156</v>
      </c>
      <c r="D8" s="10" t="s">
        <v>1429</v>
      </c>
      <c r="E8" s="66" t="str">
        <f>HYPERLINK("https://youtu.be/NHrgo1qdJoQ","channel 2")</f>
        <v>channel 2</v>
      </c>
    </row>
    <row r="9">
      <c r="B9" s="10" t="s">
        <v>626</v>
      </c>
      <c r="C9" s="12" t="s">
        <v>141</v>
      </c>
      <c r="D9" s="28" t="s">
        <v>1516</v>
      </c>
      <c r="E9" s="13" t="str">
        <f>HYPERLINK("https://youtu.be/v1ymsVp5SFI","channel 1")</f>
        <v>channel 1</v>
      </c>
    </row>
    <row r="10">
      <c r="B10" s="10" t="s">
        <v>1379</v>
      </c>
      <c r="C10" s="12" t="s">
        <v>99</v>
      </c>
      <c r="D10" s="10" t="s">
        <v>1429</v>
      </c>
      <c r="E10" s="66" t="str">
        <f>HYPERLINK("https://youtu.be/cvQkX1qR0yw","channel 2")</f>
        <v>channel 2</v>
      </c>
    </row>
    <row r="11">
      <c r="B11" s="10" t="s">
        <v>626</v>
      </c>
      <c r="C11" s="12" t="s">
        <v>135</v>
      </c>
      <c r="D11" s="10" t="s">
        <v>1517</v>
      </c>
      <c r="E11" s="13" t="str">
        <f>HYPERLINK("https://youtu.be/92LGAEKu5kQ","channel 1")</f>
        <v>channel 1</v>
      </c>
    </row>
    <row r="12">
      <c r="B12" s="10" t="s">
        <v>1379</v>
      </c>
      <c r="C12" s="12" t="s">
        <v>37</v>
      </c>
      <c r="D12" s="28" t="s">
        <v>1516</v>
      </c>
      <c r="E12" s="66" t="str">
        <f>HYPERLINK("https://youtu.be/OYjTyzoEXJw","channel 2")</f>
        <v>channel 2</v>
      </c>
    </row>
    <row r="13">
      <c r="B13" s="28" t="s">
        <v>1516</v>
      </c>
      <c r="C13" s="12" t="s">
        <v>458</v>
      </c>
      <c r="D13" s="10" t="s">
        <v>1429</v>
      </c>
      <c r="E13" s="13" t="str">
        <f>HYPERLINK("https://youtu.be/gVA8dBKxB2E","channel 1")</f>
        <v>channel 1</v>
      </c>
    </row>
    <row r="14">
      <c r="B14" s="10" t="s">
        <v>1379</v>
      </c>
      <c r="C14" s="12" t="s">
        <v>117</v>
      </c>
      <c r="D14" s="10" t="s">
        <v>1517</v>
      </c>
      <c r="E14" s="66" t="str">
        <f>HYPERLINK("https://youtu.be/TLCXA3njk9U","channel 2")</f>
        <v>channel 2</v>
      </c>
    </row>
    <row r="15">
      <c r="B15" s="10" t="s">
        <v>1429</v>
      </c>
      <c r="C15" s="12" t="s">
        <v>32</v>
      </c>
      <c r="D15" s="10" t="s">
        <v>626</v>
      </c>
      <c r="E15" s="13" t="str">
        <f>HYPERLINK("https://youtu.be/OF6b0i-H2AM","channel 1")</f>
        <v>channel 1</v>
      </c>
    </row>
    <row r="16">
      <c r="B16" s="28" t="s">
        <v>1516</v>
      </c>
      <c r="C16" s="12" t="s">
        <v>232</v>
      </c>
      <c r="D16" s="10" t="s">
        <v>1517</v>
      </c>
      <c r="E16" s="66" t="str">
        <f>HYPERLINK("https://youtu.be/zQzVNjXm4vo","channel 2")</f>
        <v>channel 2</v>
      </c>
    </row>
    <row r="17">
      <c r="B17" s="10" t="s">
        <v>1379</v>
      </c>
      <c r="C17" s="12" t="s">
        <v>46</v>
      </c>
      <c r="D17" s="10" t="s">
        <v>626</v>
      </c>
      <c r="E17" s="13" t="str">
        <f>HYPERLINK("https://youtu.be/sJusKZ4161o","channel 1")</f>
        <v>channel 1</v>
      </c>
    </row>
    <row r="18">
      <c r="B18" s="10" t="s">
        <v>1429</v>
      </c>
      <c r="C18" s="12" t="s">
        <v>37</v>
      </c>
      <c r="D18" s="10" t="s">
        <v>1517</v>
      </c>
      <c r="E18" s="66" t="str">
        <f>HYPERLINK("https://youtu.be/eW9YOw9BNMg","channel 2")</f>
        <v>channel 2</v>
      </c>
    </row>
    <row r="19">
      <c r="B19" s="28" t="s">
        <v>1516</v>
      </c>
      <c r="C19" s="12" t="s">
        <v>296</v>
      </c>
      <c r="D19" s="10" t="s">
        <v>626</v>
      </c>
      <c r="E19" s="13" t="str">
        <f>HYPERLINK("https://youtu.be/SZZ2_Fx3DJ0","channel 1")</f>
        <v>channel 1</v>
      </c>
    </row>
    <row r="20">
      <c r="B20" s="10" t="s">
        <v>1429</v>
      </c>
      <c r="C20" s="12" t="s">
        <v>358</v>
      </c>
      <c r="D20" s="10" t="s">
        <v>1379</v>
      </c>
      <c r="E20" s="66" t="str">
        <f>HYPERLINK("https://youtu.be/AjC0WZO050M","channel 2")</f>
        <v>channel 2</v>
      </c>
    </row>
    <row r="21">
      <c r="B21" s="10" t="s">
        <v>1517</v>
      </c>
      <c r="C21" s="12" t="s">
        <v>223</v>
      </c>
      <c r="D21" s="10" t="s">
        <v>626</v>
      </c>
      <c r="E21" s="13" t="str">
        <f>HYPERLINK("https://youtu.be/FRPRcGDIXng","channel 1")</f>
        <v>channel 1</v>
      </c>
    </row>
    <row r="22">
      <c r="B22" s="28" t="s">
        <v>1516</v>
      </c>
      <c r="C22" s="12" t="s">
        <v>59</v>
      </c>
      <c r="D22" s="10" t="s">
        <v>1379</v>
      </c>
      <c r="E22" s="66" t="str">
        <f>HYPERLINK("https://youtu.be/IcM4djKyV4U","channel 2")</f>
        <v>channel 2</v>
      </c>
    </row>
    <row r="23">
      <c r="B23" s="2" t="s">
        <v>580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1522</v>
      </c>
      <c r="C25" s="12" t="s">
        <v>97</v>
      </c>
      <c r="D25" s="28" t="s">
        <v>1523</v>
      </c>
      <c r="E25" s="13" t="str">
        <f>HYPERLINK("https://youtu.be/8gG6UZJajUE","channel 1")</f>
        <v>channel 1</v>
      </c>
    </row>
    <row r="26">
      <c r="B26" s="10" t="s">
        <v>1524</v>
      </c>
      <c r="C26" s="12" t="s">
        <v>124</v>
      </c>
      <c r="D26" s="10" t="s">
        <v>1299</v>
      </c>
      <c r="E26" s="66" t="str">
        <f>HYPERLINK("https://youtu.be/wIxOsDQXNR0","channel 2")</f>
        <v>channel 2</v>
      </c>
    </row>
    <row r="27">
      <c r="B27" s="10" t="s">
        <v>1526</v>
      </c>
      <c r="C27" s="12" t="s">
        <v>350</v>
      </c>
      <c r="D27" s="10" t="s">
        <v>1522</v>
      </c>
      <c r="E27" s="13" t="str">
        <f>HYPERLINK("https://youtu.be/7CZoNF5nIhM","channel 1")</f>
        <v>channel 1</v>
      </c>
    </row>
    <row r="28">
      <c r="B28" s="10" t="s">
        <v>1524</v>
      </c>
      <c r="C28" s="12" t="s">
        <v>74</v>
      </c>
      <c r="D28" s="28" t="s">
        <v>1523</v>
      </c>
      <c r="E28" s="66" t="str">
        <f>HYPERLINK("https://youtu.be/Uox-AWHS3xE","channel 2")</f>
        <v>channel 2</v>
      </c>
    </row>
    <row r="29">
      <c r="B29" s="10" t="s">
        <v>1526</v>
      </c>
      <c r="C29" s="12" t="s">
        <v>232</v>
      </c>
      <c r="D29" s="10" t="s">
        <v>1299</v>
      </c>
      <c r="E29" s="13" t="str">
        <f>HYPERLINK("https://youtu.be/jZ1pXWrjppk","channel 1")</f>
        <v>channel 1</v>
      </c>
    </row>
    <row r="30">
      <c r="B30" s="10" t="s">
        <v>1524</v>
      </c>
      <c r="C30" s="12" t="s">
        <v>24</v>
      </c>
      <c r="D30" s="10" t="s">
        <v>1522</v>
      </c>
      <c r="E30" s="66" t="str">
        <f>HYPERLINK("https://youtu.be/M55Zi4c1pkc","channel 2")</f>
        <v>channel 2</v>
      </c>
    </row>
    <row r="31">
      <c r="B31" s="10" t="s">
        <v>1526</v>
      </c>
      <c r="C31" s="12" t="s">
        <v>821</v>
      </c>
      <c r="D31" s="28" t="s">
        <v>1523</v>
      </c>
      <c r="E31" s="13" t="str">
        <f>HYPERLINK("https://youtu.be/vfKJ6troq7Q","channel 1")</f>
        <v>channel 1</v>
      </c>
    </row>
    <row r="32">
      <c r="B32" s="10" t="s">
        <v>1299</v>
      </c>
      <c r="C32" s="12" t="s">
        <v>216</v>
      </c>
      <c r="D32" s="10" t="s">
        <v>1522</v>
      </c>
      <c r="E32" s="66" t="str">
        <f>HYPERLINK("https://youtu.be/fOIvD_cPV3Y","channel 2")</f>
        <v>channel 2</v>
      </c>
    </row>
    <row r="33">
      <c r="B33" s="10" t="s">
        <v>1526</v>
      </c>
      <c r="C33" s="12" t="s">
        <v>97</v>
      </c>
      <c r="D33" s="10" t="s">
        <v>1524</v>
      </c>
      <c r="E33" s="13" t="str">
        <f>HYPERLINK("https://youtu.be/8tHZALFk6y0","channel 1")</f>
        <v>channel 1</v>
      </c>
    </row>
    <row r="34">
      <c r="B34" s="10" t="s">
        <v>1299</v>
      </c>
      <c r="C34" s="12" t="s">
        <v>37</v>
      </c>
      <c r="D34" s="28" t="s">
        <v>1523</v>
      </c>
      <c r="E34" s="66" t="str">
        <f>HYPERLINK("https://youtu.be/vVQovnAKsA0","channel 2")</f>
        <v>channel 2</v>
      </c>
    </row>
    <row r="35">
      <c r="B35" s="28" t="s">
        <v>1523</v>
      </c>
      <c r="C35" s="12" t="s">
        <v>1527</v>
      </c>
      <c r="D35" s="10" t="s">
        <v>1522</v>
      </c>
      <c r="E35" s="13" t="str">
        <f>HYPERLINK("https://youtu.be/DSJlqArysD4","channel 1")</f>
        <v>channel 1</v>
      </c>
    </row>
    <row r="36">
      <c r="B36" s="10" t="s">
        <v>1299</v>
      </c>
      <c r="C36" s="12" t="s">
        <v>180</v>
      </c>
      <c r="D36" s="10" t="s">
        <v>1524</v>
      </c>
      <c r="E36" s="66" t="str">
        <f>HYPERLINK("https://youtu.be/iadMqVbLbuQ","channel 2")</f>
        <v>channel 2</v>
      </c>
    </row>
    <row r="37">
      <c r="B37" s="10" t="s">
        <v>1522</v>
      </c>
      <c r="C37" s="12" t="s">
        <v>124</v>
      </c>
      <c r="D37" s="10" t="s">
        <v>1526</v>
      </c>
      <c r="E37" s="13" t="str">
        <f>HYPERLINK("https://youtu.be/I5lRu9lzYBo","channel 1")</f>
        <v>channel 1</v>
      </c>
    </row>
    <row r="38">
      <c r="B38" s="28" t="s">
        <v>1523</v>
      </c>
      <c r="C38" s="12" t="s">
        <v>522</v>
      </c>
      <c r="D38" s="10" t="s">
        <v>1524</v>
      </c>
      <c r="E38" s="66" t="str">
        <f>HYPERLINK("https://youtu.be/9ZU0zEAiZ-k","channel 2")</f>
        <v>channel 2</v>
      </c>
    </row>
    <row r="39">
      <c r="B39" s="10" t="s">
        <v>1299</v>
      </c>
      <c r="C39" s="12" t="s">
        <v>1093</v>
      </c>
      <c r="D39" s="10" t="s">
        <v>1526</v>
      </c>
      <c r="E39" s="13" t="str">
        <f>HYPERLINK("https://youtu.be/rtxBHmoU85I","channel 1")</f>
        <v>channel 1</v>
      </c>
    </row>
    <row r="40">
      <c r="B40" s="10" t="s">
        <v>1522</v>
      </c>
      <c r="C40" s="12" t="s">
        <v>384</v>
      </c>
      <c r="D40" s="10" t="s">
        <v>1524</v>
      </c>
      <c r="E40" s="66" t="str">
        <f>HYPERLINK("https://youtu.be/n_MCJpvAzps","channel 2")</f>
        <v>channel 2</v>
      </c>
    </row>
    <row r="41">
      <c r="B41" s="28" t="s">
        <v>1523</v>
      </c>
      <c r="C41" s="12" t="s">
        <v>24</v>
      </c>
      <c r="D41" s="10" t="s">
        <v>1526</v>
      </c>
      <c r="E41" s="13" t="str">
        <f>HYPERLINK("https://youtu.be/srCLm1ksytw","channel 1")</f>
        <v>channel 1</v>
      </c>
    </row>
    <row r="42">
      <c r="B42" s="10" t="s">
        <v>1522</v>
      </c>
      <c r="C42" s="12" t="s">
        <v>34</v>
      </c>
      <c r="D42" s="10" t="s">
        <v>1299</v>
      </c>
      <c r="E42" s="66" t="str">
        <f>HYPERLINK("https://youtu.be/8h07VSI-bGM","channel 2")</f>
        <v>channel 2</v>
      </c>
    </row>
    <row r="43">
      <c r="B43" s="10" t="s">
        <v>1524</v>
      </c>
      <c r="C43" s="12" t="s">
        <v>49</v>
      </c>
      <c r="D43" s="10" t="s">
        <v>1526</v>
      </c>
      <c r="E43" s="13" t="str">
        <f>HYPERLINK("https://youtu.be/w9OXRjaDeq0","channel 1")</f>
        <v>channel 1</v>
      </c>
    </row>
    <row r="44">
      <c r="B44" s="28" t="s">
        <v>1523</v>
      </c>
      <c r="C44" s="12" t="s">
        <v>32</v>
      </c>
      <c r="D44" s="10" t="s">
        <v>1299</v>
      </c>
      <c r="E44" s="66" t="str">
        <f>HYPERLINK("https://youtu.be/J0wNPbGDyKk","channel 2")</f>
        <v>channel 2</v>
      </c>
    </row>
    <row r="45">
      <c r="B45" s="2" t="s">
        <v>202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1532</v>
      </c>
      <c r="C47" s="73" t="s">
        <v>103</v>
      </c>
      <c r="D47" s="71" t="s">
        <v>1291</v>
      </c>
      <c r="E47" s="13" t="str">
        <f>HYPERLINK("https://youtu.be/RC1TqLSc3g4","channel 1")</f>
        <v>channel 1</v>
      </c>
    </row>
    <row r="48">
      <c r="B48" s="72" t="s">
        <v>1533</v>
      </c>
      <c r="C48" s="73" t="s">
        <v>1534</v>
      </c>
      <c r="D48" s="74" t="s">
        <v>1535</v>
      </c>
      <c r="E48" s="66" t="str">
        <f>HYPERLINK("https://youtu.be/OFm98DVl-z8","channel 2")</f>
        <v>channel 2</v>
      </c>
    </row>
    <row r="49">
      <c r="B49" s="72" t="s">
        <v>1536</v>
      </c>
      <c r="C49" s="73" t="s">
        <v>77</v>
      </c>
      <c r="D49" s="74" t="s">
        <v>1532</v>
      </c>
      <c r="E49" s="13" t="str">
        <f>HYPERLINK("https://youtu.be/cqU4eJdZTWE","channel 1")</f>
        <v>channel 1</v>
      </c>
    </row>
    <row r="50">
      <c r="B50" s="72" t="s">
        <v>1533</v>
      </c>
      <c r="C50" s="73" t="s">
        <v>93</v>
      </c>
      <c r="D50" s="74" t="s">
        <v>1291</v>
      </c>
      <c r="E50" s="66" t="str">
        <f>HYPERLINK("https://youtu.be/ICZNDIQ3bTA","channel 2")</f>
        <v>channel 2</v>
      </c>
    </row>
    <row r="51">
      <c r="B51" s="72" t="s">
        <v>1536</v>
      </c>
      <c r="C51" s="73" t="s">
        <v>179</v>
      </c>
      <c r="D51" s="74" t="s">
        <v>1535</v>
      </c>
      <c r="E51" s="13" t="str">
        <f>HYPERLINK("https://youtu.be/_eIp0i3HmLQ","channel 1")</f>
        <v>channel 1</v>
      </c>
    </row>
    <row r="52">
      <c r="B52" s="72" t="s">
        <v>1533</v>
      </c>
      <c r="C52" s="73" t="s">
        <v>194</v>
      </c>
      <c r="D52" s="74" t="s">
        <v>1532</v>
      </c>
      <c r="E52" s="66" t="str">
        <f>HYPERLINK("https://youtu.be/Bby2F8darzg","channel 2")</f>
        <v>channel 2</v>
      </c>
    </row>
    <row r="53">
      <c r="B53" s="72" t="s">
        <v>1536</v>
      </c>
      <c r="C53" s="73" t="s">
        <v>1178</v>
      </c>
      <c r="D53" s="74" t="s">
        <v>1291</v>
      </c>
      <c r="E53" s="13" t="str">
        <f>HYPERLINK("https://youtu.be/Xpy1dL40FWs","channel 1")</f>
        <v>channel 1</v>
      </c>
    </row>
    <row r="54">
      <c r="B54" s="72" t="s">
        <v>1535</v>
      </c>
      <c r="C54" s="73" t="s">
        <v>145</v>
      </c>
      <c r="D54" s="74" t="s">
        <v>1532</v>
      </c>
      <c r="E54" s="66" t="str">
        <f>HYPERLINK("https://youtu.be/NDOWab6wKbI","channel 2")</f>
        <v>channel 2</v>
      </c>
    </row>
    <row r="55">
      <c r="B55" s="72" t="s">
        <v>1536</v>
      </c>
      <c r="C55" s="73" t="s">
        <v>232</v>
      </c>
      <c r="D55" s="74" t="s">
        <v>1533</v>
      </c>
      <c r="E55" s="13" t="str">
        <f>HYPERLINK("https://youtu.be/t_ETn3Kn0pI","channel 1")</f>
        <v>channel 1</v>
      </c>
    </row>
    <row r="56">
      <c r="B56" s="72" t="s">
        <v>1535</v>
      </c>
      <c r="C56" s="73" t="s">
        <v>318</v>
      </c>
      <c r="D56" s="74" t="s">
        <v>1291</v>
      </c>
      <c r="E56" s="66" t="str">
        <f>HYPERLINK("https://youtu.be/edtLCUw6CQo","channel 2")</f>
        <v>channel 2</v>
      </c>
    </row>
    <row r="57">
      <c r="B57" s="72" t="s">
        <v>1291</v>
      </c>
      <c r="C57" s="73" t="s">
        <v>307</v>
      </c>
      <c r="D57" s="74" t="s">
        <v>1532</v>
      </c>
      <c r="E57" s="13" t="str">
        <f>HYPERLINK("https://youtu.be/IIclkMY56RA","channel 1")</f>
        <v>channel 1</v>
      </c>
    </row>
    <row r="58">
      <c r="B58" s="72" t="s">
        <v>1535</v>
      </c>
      <c r="C58" s="73" t="s">
        <v>144</v>
      </c>
      <c r="D58" s="74" t="s">
        <v>1533</v>
      </c>
      <c r="E58" s="66" t="str">
        <f>HYPERLINK("https://youtu.be/RBD-GK8NVUU","channel 2")</f>
        <v>channel 2</v>
      </c>
    </row>
    <row r="59">
      <c r="B59" s="72" t="s">
        <v>1532</v>
      </c>
      <c r="C59" s="73" t="s">
        <v>191</v>
      </c>
      <c r="D59" s="74" t="s">
        <v>1536</v>
      </c>
      <c r="E59" s="13" t="str">
        <f>HYPERLINK("https://youtu.be/C7iUT_Uzfu4","channel 1")</f>
        <v>channel 1</v>
      </c>
    </row>
    <row r="60">
      <c r="B60" s="72" t="s">
        <v>1291</v>
      </c>
      <c r="C60" s="73" t="s">
        <v>10</v>
      </c>
      <c r="D60" s="74" t="s">
        <v>1533</v>
      </c>
      <c r="E60" s="66" t="str">
        <f>HYPERLINK("https://youtu.be/sBHIYRli8aY","channel 2")</f>
        <v>channel 2</v>
      </c>
    </row>
    <row r="61">
      <c r="B61" s="72" t="s">
        <v>1535</v>
      </c>
      <c r="C61" s="73" t="s">
        <v>90</v>
      </c>
      <c r="D61" s="74" t="s">
        <v>1536</v>
      </c>
      <c r="E61" s="13" t="str">
        <f>HYPERLINK("https://youtu.be/-FCI1Nfcbo8","channel 1")</f>
        <v>channel 1</v>
      </c>
    </row>
    <row r="62">
      <c r="B62" s="72" t="s">
        <v>1532</v>
      </c>
      <c r="C62" s="73" t="s">
        <v>485</v>
      </c>
      <c r="D62" s="74" t="s">
        <v>1533</v>
      </c>
      <c r="E62" s="66" t="str">
        <f>HYPERLINK("https://youtu.be/0kwsQXL2W9E","channel 2")</f>
        <v>channel 2</v>
      </c>
    </row>
    <row r="63">
      <c r="B63" s="72" t="s">
        <v>1291</v>
      </c>
      <c r="C63" s="73" t="s">
        <v>32</v>
      </c>
      <c r="D63" s="74" t="s">
        <v>1536</v>
      </c>
      <c r="E63" s="13" t="str">
        <f>HYPERLINK("https://youtu.be/e6JZrud7KfY","channel 1")</f>
        <v>channel 1</v>
      </c>
    </row>
    <row r="64">
      <c r="B64" s="72" t="s">
        <v>1532</v>
      </c>
      <c r="C64" s="73" t="s">
        <v>216</v>
      </c>
      <c r="D64" s="74" t="s">
        <v>1535</v>
      </c>
      <c r="E64" s="66" t="str">
        <f>HYPERLINK("https://youtu.be/1u0nbBJR04Q","channel 2")</f>
        <v>channel 2</v>
      </c>
    </row>
    <row r="65">
      <c r="B65" s="72" t="s">
        <v>1533</v>
      </c>
      <c r="C65" s="73" t="s">
        <v>46</v>
      </c>
      <c r="D65" s="74" t="s">
        <v>1536</v>
      </c>
      <c r="E65" s="13" t="str">
        <f>HYPERLINK("https://youtu.be/rr3cNFtZDDo","channel 1")</f>
        <v>channel 1</v>
      </c>
    </row>
    <row r="66">
      <c r="B66" s="72" t="s">
        <v>1291</v>
      </c>
      <c r="C66" s="73" t="s">
        <v>104</v>
      </c>
      <c r="D66" s="74" t="s">
        <v>1535</v>
      </c>
      <c r="E66" s="66" t="str">
        <f>HYPERLINK("https://youtu.be/iMc2bGggg-c","channel 2")</f>
        <v>channel 2</v>
      </c>
    </row>
    <row r="67">
      <c r="B67" s="2" t="s">
        <v>1276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1537</v>
      </c>
      <c r="C69" s="73" t="s">
        <v>101</v>
      </c>
      <c r="D69" s="71" t="s">
        <v>1538</v>
      </c>
      <c r="E69" s="13" t="str">
        <f>HYPERLINK("https://youtu.be/bbdbiNuwCTA","channel 1")</f>
        <v>channel 1</v>
      </c>
    </row>
    <row r="70">
      <c r="B70" s="72" t="s">
        <v>445</v>
      </c>
      <c r="C70" s="73" t="s">
        <v>110</v>
      </c>
      <c r="D70" s="74" t="s">
        <v>1539</v>
      </c>
      <c r="E70" s="66" t="str">
        <f>HYPERLINK("https://youtu.be/8wVUoS_vnc4","channel 2")</f>
        <v>channel 2</v>
      </c>
    </row>
    <row r="71">
      <c r="B71" s="72" t="s">
        <v>1508</v>
      </c>
      <c r="C71" s="73" t="s">
        <v>104</v>
      </c>
      <c r="D71" s="74" t="s">
        <v>1537</v>
      </c>
      <c r="E71" s="13" t="str">
        <f>HYPERLINK("https://youtu.be/HKEFZx33YiQ","channel 1")</f>
        <v>channel 1</v>
      </c>
    </row>
    <row r="72">
      <c r="B72" s="72" t="s">
        <v>445</v>
      </c>
      <c r="C72" s="73" t="s">
        <v>40</v>
      </c>
      <c r="D72" s="74" t="s">
        <v>1538</v>
      </c>
      <c r="E72" s="66" t="str">
        <f>HYPERLINK("https://youtu.be/SVcbeGyee-M","channel 2")</f>
        <v>channel 2</v>
      </c>
    </row>
    <row r="73">
      <c r="B73" s="72" t="s">
        <v>1508</v>
      </c>
      <c r="C73" s="73" t="s">
        <v>34</v>
      </c>
      <c r="D73" s="74" t="s">
        <v>1539</v>
      </c>
      <c r="E73" s="13" t="str">
        <f>HYPERLINK("https://youtu.be/2MezwS6_iEs","channel 1")</f>
        <v>channel 1</v>
      </c>
    </row>
    <row r="74">
      <c r="B74" s="72" t="s">
        <v>445</v>
      </c>
      <c r="C74" s="73" t="s">
        <v>103</v>
      </c>
      <c r="D74" s="74" t="s">
        <v>1537</v>
      </c>
      <c r="E74" s="66" t="str">
        <f>HYPERLINK("https://youtu.be/h0Jxs-p2_Jc","channel 2")</f>
        <v>channel 2</v>
      </c>
    </row>
    <row r="75">
      <c r="B75" s="72" t="s">
        <v>1508</v>
      </c>
      <c r="C75" s="73" t="s">
        <v>1540</v>
      </c>
      <c r="D75" s="74" t="s">
        <v>1538</v>
      </c>
      <c r="E75" s="13" t="str">
        <f>HYPERLINK("https://youtu.be/f2huBjF-rO4","channel 1")</f>
        <v>channel 1</v>
      </c>
    </row>
    <row r="76">
      <c r="B76" s="72" t="s">
        <v>1539</v>
      </c>
      <c r="C76" s="73" t="s">
        <v>34</v>
      </c>
      <c r="D76" s="74" t="s">
        <v>1537</v>
      </c>
      <c r="E76" s="66" t="str">
        <f>HYPERLINK("https://youtu.be/h6o75ryOU8M","channel 2")</f>
        <v>channel 2</v>
      </c>
    </row>
    <row r="77">
      <c r="B77" s="72" t="s">
        <v>1508</v>
      </c>
      <c r="C77" s="73" t="s">
        <v>138</v>
      </c>
      <c r="D77" s="74" t="s">
        <v>445</v>
      </c>
      <c r="E77" s="13" t="str">
        <f>HYPERLINK("https://youtu.be/6nBPfEpgQv0","channel 1")</f>
        <v>channel 1</v>
      </c>
    </row>
    <row r="78">
      <c r="B78" s="72" t="s">
        <v>1539</v>
      </c>
      <c r="C78" s="73" t="s">
        <v>277</v>
      </c>
      <c r="D78" s="74" t="s">
        <v>1538</v>
      </c>
      <c r="E78" s="66" t="str">
        <f>HYPERLINK("https://youtu.be/QC1teEesr70","channel 2")</f>
        <v>channel 2</v>
      </c>
    </row>
    <row r="79">
      <c r="B79" s="72" t="s">
        <v>1538</v>
      </c>
      <c r="C79" s="73" t="s">
        <v>761</v>
      </c>
      <c r="D79" s="74" t="s">
        <v>1537</v>
      </c>
      <c r="E79" s="13" t="str">
        <f>HYPERLINK("https://youtu.be/nn5nbXYfBPU","channel 1")</f>
        <v>channel 1</v>
      </c>
    </row>
    <row r="80">
      <c r="B80" s="72" t="s">
        <v>1539</v>
      </c>
      <c r="C80" s="73" t="s">
        <v>101</v>
      </c>
      <c r="D80" s="74" t="s">
        <v>445</v>
      </c>
      <c r="E80" s="66" t="str">
        <f>HYPERLINK("https://youtu.be/4_iP2wt4KMk","channel 2")</f>
        <v>channel 2</v>
      </c>
    </row>
    <row r="81">
      <c r="B81" s="72" t="s">
        <v>1537</v>
      </c>
      <c r="C81" s="73" t="s">
        <v>311</v>
      </c>
      <c r="D81" s="74" t="s">
        <v>1508</v>
      </c>
      <c r="E81" s="13" t="str">
        <f>HYPERLINK("https://youtu.be/ia1WX_f8Rb0","channel 1")</f>
        <v>channel 1</v>
      </c>
    </row>
    <row r="82">
      <c r="B82" s="72" t="s">
        <v>1538</v>
      </c>
      <c r="C82" s="73" t="s">
        <v>49</v>
      </c>
      <c r="D82" s="74" t="s">
        <v>445</v>
      </c>
      <c r="E82" s="66" t="str">
        <f>HYPERLINK("https://youtu.be/TNHFa_lvQBE","channel 2")</f>
        <v>channel 2</v>
      </c>
    </row>
    <row r="83">
      <c r="B83" s="72" t="s">
        <v>1539</v>
      </c>
      <c r="C83" s="73" t="s">
        <v>124</v>
      </c>
      <c r="D83" s="74" t="s">
        <v>1508</v>
      </c>
      <c r="E83" s="13" t="str">
        <f>HYPERLINK("https://youtu.be/LFhvfaFkuQU","channel 1")</f>
        <v>channel 1</v>
      </c>
    </row>
    <row r="84">
      <c r="B84" s="72" t="s">
        <v>1537</v>
      </c>
      <c r="C84" s="73" t="s">
        <v>61</v>
      </c>
      <c r="D84" s="74" t="s">
        <v>445</v>
      </c>
      <c r="E84" s="66" t="str">
        <f>HYPERLINK("https://youtu.be/2ihWhu2iSsM","channel 2")</f>
        <v>channel 2</v>
      </c>
    </row>
    <row r="85">
      <c r="B85" s="72" t="s">
        <v>1538</v>
      </c>
      <c r="C85" s="73" t="s">
        <v>223</v>
      </c>
      <c r="D85" s="74" t="s">
        <v>1508</v>
      </c>
      <c r="E85" s="13" t="str">
        <f>HYPERLINK("https://youtu.be/DqcR7lxPUeg","channel 1")</f>
        <v>channel 1</v>
      </c>
    </row>
    <row r="86">
      <c r="B86" s="72" t="s">
        <v>1537</v>
      </c>
      <c r="C86" s="73" t="s">
        <v>538</v>
      </c>
      <c r="D86" s="74" t="s">
        <v>1539</v>
      </c>
      <c r="E86" s="66" t="str">
        <f>HYPERLINK("https://youtu.be/3me5s7H10PI","channel 2")</f>
        <v>channel 2</v>
      </c>
    </row>
    <row r="87">
      <c r="B87" s="72" t="s">
        <v>445</v>
      </c>
      <c r="C87" s="73" t="s">
        <v>97</v>
      </c>
      <c r="D87" s="74" t="s">
        <v>1508</v>
      </c>
      <c r="E87" s="13" t="str">
        <f>HYPERLINK("https://youtu.be/PsbWgC1eUXI","channel 1")</f>
        <v>channel 1</v>
      </c>
    </row>
    <row r="88">
      <c r="B88" s="72" t="s">
        <v>1538</v>
      </c>
      <c r="C88" s="73" t="s">
        <v>322</v>
      </c>
      <c r="D88" s="74" t="s">
        <v>1539</v>
      </c>
      <c r="E88" s="66" t="str">
        <f>HYPERLINK("https://youtu.be/SofR4e4SFhA","channel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1354</v>
      </c>
      <c r="C3" s="73" t="s">
        <v>148</v>
      </c>
      <c r="D3" s="85" t="s">
        <v>1521</v>
      </c>
      <c r="E3" s="13" t="str">
        <f>HYPERLINK("https://youtu.be/vkXU-zszlS4","channel 1")</f>
        <v>channel 1</v>
      </c>
    </row>
    <row r="4">
      <c r="B4" s="79" t="s">
        <v>432</v>
      </c>
      <c r="C4" s="73" t="s">
        <v>108</v>
      </c>
      <c r="D4" s="86" t="s">
        <v>1457</v>
      </c>
      <c r="E4" s="66" t="str">
        <f>HYPERLINK("https://youtu.be/KBpKH4lUcLY","channel 2")</f>
        <v>channel 2</v>
      </c>
    </row>
    <row r="5">
      <c r="B5" s="79" t="s">
        <v>1179</v>
      </c>
      <c r="C5" s="73" t="s">
        <v>34</v>
      </c>
      <c r="D5" s="86" t="s">
        <v>1354</v>
      </c>
      <c r="E5" s="13" t="str">
        <f>HYPERLINK("https://youtu.be/zU1cGRC7x_Y","channel 1")</f>
        <v>channel 1</v>
      </c>
    </row>
    <row r="6">
      <c r="B6" s="79" t="s">
        <v>432</v>
      </c>
      <c r="C6" s="73" t="s">
        <v>116</v>
      </c>
      <c r="D6" s="86" t="s">
        <v>1521</v>
      </c>
      <c r="E6" s="66" t="str">
        <f>HYPERLINK("https://youtu.be/WRJiy72CT0c","channel 2")</f>
        <v>channel 2</v>
      </c>
    </row>
    <row r="7">
      <c r="B7" s="79" t="s">
        <v>1179</v>
      </c>
      <c r="C7" s="73" t="s">
        <v>214</v>
      </c>
      <c r="D7" s="86" t="s">
        <v>1457</v>
      </c>
      <c r="E7" s="13" t="str">
        <f>HYPERLINK("https://youtu.be/HEtrSQYoaeg","channel 1")</f>
        <v>channel 1</v>
      </c>
    </row>
    <row r="8">
      <c r="B8" s="79" t="s">
        <v>432</v>
      </c>
      <c r="C8" s="73" t="s">
        <v>1525</v>
      </c>
      <c r="D8" s="86" t="s">
        <v>1354</v>
      </c>
      <c r="E8" s="66" t="str">
        <f>HYPERLINK("https://youtu.be/XtsqCJH3ZXw","channel 2")</f>
        <v>channel 2</v>
      </c>
    </row>
    <row r="9">
      <c r="B9" s="79" t="s">
        <v>1179</v>
      </c>
      <c r="C9" s="73" t="s">
        <v>384</v>
      </c>
      <c r="D9" s="86" t="s">
        <v>1521</v>
      </c>
      <c r="E9" s="13" t="str">
        <f>HYPERLINK("https://youtu.be/g6Pwv65HLaY","channel 1")</f>
        <v>channel 1</v>
      </c>
    </row>
    <row r="10">
      <c r="B10" s="79" t="s">
        <v>1457</v>
      </c>
      <c r="C10" s="73" t="s">
        <v>157</v>
      </c>
      <c r="D10" s="86" t="s">
        <v>1354</v>
      </c>
      <c r="E10" s="66" t="str">
        <f>HYPERLINK("https://youtu.be/MjJ8F6pePxo","channel 2")</f>
        <v>channel 2</v>
      </c>
    </row>
    <row r="11">
      <c r="B11" s="79" t="s">
        <v>1179</v>
      </c>
      <c r="C11" s="73" t="s">
        <v>77</v>
      </c>
      <c r="D11" s="86" t="s">
        <v>432</v>
      </c>
      <c r="E11" s="13" t="str">
        <f>HYPERLINK("https://youtu.be/cbpG2LoY3mM","channel 1")</f>
        <v>channel 1</v>
      </c>
    </row>
    <row r="12">
      <c r="B12" s="79" t="s">
        <v>1457</v>
      </c>
      <c r="C12" s="73" t="s">
        <v>460</v>
      </c>
      <c r="D12" s="86" t="s">
        <v>1521</v>
      </c>
      <c r="E12" s="66" t="str">
        <f>HYPERLINK("https://youtu.be/toF12pNizng","channel 2")</f>
        <v>channel 2</v>
      </c>
    </row>
    <row r="13">
      <c r="B13" s="79" t="s">
        <v>1521</v>
      </c>
      <c r="C13" s="73" t="s">
        <v>84</v>
      </c>
      <c r="D13" s="86" t="s">
        <v>1354</v>
      </c>
      <c r="E13" s="13" t="str">
        <f>HYPERLINK("https://youtu.be/5L3jcxuCa6w","channel 1")</f>
        <v>channel 1</v>
      </c>
    </row>
    <row r="14">
      <c r="B14" s="79" t="s">
        <v>1457</v>
      </c>
      <c r="C14" s="73" t="s">
        <v>27</v>
      </c>
      <c r="D14" s="86" t="s">
        <v>432</v>
      </c>
      <c r="E14" s="66" t="str">
        <f>HYPERLINK("https://youtu.be/7z0YRaV60Bk","channel 2")</f>
        <v>channel 2</v>
      </c>
    </row>
    <row r="15">
      <c r="B15" s="79" t="s">
        <v>1354</v>
      </c>
      <c r="C15" s="73" t="s">
        <v>10</v>
      </c>
      <c r="D15" s="86" t="s">
        <v>1179</v>
      </c>
      <c r="E15" s="13" t="str">
        <f>HYPERLINK("https://youtu.be/FoHsvpElSJE","channel 1")</f>
        <v>channel 1</v>
      </c>
    </row>
    <row r="16">
      <c r="B16" s="79" t="s">
        <v>1521</v>
      </c>
      <c r="C16" s="73" t="s">
        <v>90</v>
      </c>
      <c r="D16" s="86" t="s">
        <v>432</v>
      </c>
      <c r="E16" s="66" t="str">
        <f>HYPERLINK("https://youtu.be/TJ5CI8MwI7U","channel 2")</f>
        <v>channel 2</v>
      </c>
    </row>
    <row r="17">
      <c r="B17" s="79" t="s">
        <v>1457</v>
      </c>
      <c r="C17" s="73" t="s">
        <v>32</v>
      </c>
      <c r="D17" s="86" t="s">
        <v>1179</v>
      </c>
      <c r="E17" s="13" t="str">
        <f>HYPERLINK("https://youtu.be/MkvYij4Gbxo","channel 1")</f>
        <v>channel 1</v>
      </c>
    </row>
    <row r="18">
      <c r="B18" s="79" t="s">
        <v>1354</v>
      </c>
      <c r="C18" s="73" t="s">
        <v>145</v>
      </c>
      <c r="D18" s="86" t="s">
        <v>432</v>
      </c>
      <c r="E18" s="66" t="str">
        <f>HYPERLINK("https://youtu.be/6Z4_7s30pEA","channel 2")</f>
        <v>channel 2</v>
      </c>
    </row>
    <row r="19">
      <c r="B19" s="79" t="s">
        <v>1521</v>
      </c>
      <c r="C19" s="73" t="s">
        <v>97</v>
      </c>
      <c r="D19" s="86" t="s">
        <v>1179</v>
      </c>
      <c r="E19" s="13" t="str">
        <f>HYPERLINK("https://youtu.be/qZj3kDQjOiM","channel 1")</f>
        <v>channel 1</v>
      </c>
    </row>
    <row r="20">
      <c r="B20" s="79" t="s">
        <v>1354</v>
      </c>
      <c r="C20" s="73" t="s">
        <v>228</v>
      </c>
      <c r="D20" s="86" t="s">
        <v>1457</v>
      </c>
      <c r="E20" s="66" t="str">
        <f>HYPERLINK("https://youtu.be/8yxVssHa8vE","channel 2")</f>
        <v>channel 2</v>
      </c>
    </row>
    <row r="21">
      <c r="B21" s="79" t="s">
        <v>432</v>
      </c>
      <c r="C21" s="73" t="s">
        <v>373</v>
      </c>
      <c r="D21" s="86" t="s">
        <v>1179</v>
      </c>
      <c r="E21" s="13" t="str">
        <f>HYPERLINK("https://youtu.be/3ndneaDt0ns","channel 1")</f>
        <v>channel 1</v>
      </c>
    </row>
    <row r="22">
      <c r="B22" s="79" t="s">
        <v>1521</v>
      </c>
      <c r="C22" s="73" t="s">
        <v>522</v>
      </c>
      <c r="D22" s="86" t="s">
        <v>1457</v>
      </c>
      <c r="E22" s="66" t="str">
        <f>HYPERLINK("https://youtu.be/RH4fQIWo8PU","channel 2")</f>
        <v>channel 2</v>
      </c>
    </row>
    <row r="23">
      <c r="B23" s="2" t="s">
        <v>1337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1528</v>
      </c>
      <c r="C25" s="73" t="s">
        <v>143</v>
      </c>
      <c r="D25" s="85" t="s">
        <v>1529</v>
      </c>
      <c r="E25" s="13" t="str">
        <f>HYPERLINK("https://youtu.be/fho5H6G6i2k","channel 1")</f>
        <v>channel 1</v>
      </c>
    </row>
    <row r="26">
      <c r="B26" s="79" t="s">
        <v>1530</v>
      </c>
      <c r="C26" s="73" t="s">
        <v>160</v>
      </c>
      <c r="D26" s="86" t="s">
        <v>1531</v>
      </c>
      <c r="E26" s="66" t="str">
        <f>HYPERLINK("https://youtu.be/d7sOf2O61Mo","channel 2")</f>
        <v>channel 2</v>
      </c>
    </row>
    <row r="27">
      <c r="B27" s="79" t="s">
        <v>1194</v>
      </c>
      <c r="C27" s="73" t="s">
        <v>241</v>
      </c>
      <c r="D27" s="86" t="s">
        <v>1528</v>
      </c>
      <c r="E27" s="13" t="str">
        <f>HYPERLINK("https://youtu.be/Ml3K7voqvD8","channel 1")</f>
        <v>channel 1</v>
      </c>
    </row>
    <row r="28">
      <c r="B28" s="79" t="s">
        <v>1530</v>
      </c>
      <c r="C28" s="73" t="s">
        <v>156</v>
      </c>
      <c r="D28" s="86" t="s">
        <v>1529</v>
      </c>
      <c r="E28" s="66" t="str">
        <f>HYPERLINK("https://youtu.be/l2vzM2Jrs8A","channel 2")</f>
        <v>channel 2</v>
      </c>
    </row>
    <row r="29">
      <c r="B29" s="79" t="s">
        <v>1194</v>
      </c>
      <c r="C29" s="73" t="s">
        <v>97</v>
      </c>
      <c r="D29" s="86" t="s">
        <v>1531</v>
      </c>
      <c r="E29" s="13" t="str">
        <f>HYPERLINK("https://youtu.be/hVy3WB2HDwo","channel 1")</f>
        <v>channel 1</v>
      </c>
    </row>
    <row r="30">
      <c r="B30" s="79" t="s">
        <v>1530</v>
      </c>
      <c r="C30" s="73" t="s">
        <v>108</v>
      </c>
      <c r="D30" s="86" t="s">
        <v>1528</v>
      </c>
      <c r="E30" s="66" t="str">
        <f>HYPERLINK("https://youtu.be/MTwW_d-TTZY","channel 2")</f>
        <v>channel 2</v>
      </c>
    </row>
    <row r="31">
      <c r="B31" s="79" t="s">
        <v>1194</v>
      </c>
      <c r="C31" s="73" t="s">
        <v>223</v>
      </c>
      <c r="D31" s="86" t="s">
        <v>1529</v>
      </c>
      <c r="E31" s="13" t="str">
        <f>HYPERLINK("https://youtu.be/sEof7XFAkI8","channel 1")</f>
        <v>channel 1</v>
      </c>
    </row>
    <row r="32">
      <c r="B32" s="79" t="s">
        <v>1531</v>
      </c>
      <c r="C32" s="73" t="s">
        <v>384</v>
      </c>
      <c r="D32" s="86" t="s">
        <v>1528</v>
      </c>
      <c r="E32" s="66" t="str">
        <f>HYPERLINK("https://youtu.be/IfsjLVv9k7M","channel 2")</f>
        <v>channel 2</v>
      </c>
    </row>
    <row r="33">
      <c r="B33" s="79" t="s">
        <v>1194</v>
      </c>
      <c r="C33" s="73" t="s">
        <v>993</v>
      </c>
      <c r="D33" s="86" t="s">
        <v>1530</v>
      </c>
      <c r="E33" s="13" t="str">
        <f>HYPERLINK("https://youtu.be/KF13RFGSLm8","channel 1")</f>
        <v>channel 1</v>
      </c>
    </row>
    <row r="34">
      <c r="B34" s="79" t="s">
        <v>1531</v>
      </c>
      <c r="C34" s="73" t="s">
        <v>106</v>
      </c>
      <c r="D34" s="86" t="s">
        <v>1529</v>
      </c>
      <c r="E34" s="66" t="str">
        <f>HYPERLINK("https://youtu.be/UjsXsJrXV4s","channel 2")</f>
        <v>channel 2</v>
      </c>
    </row>
    <row r="35">
      <c r="B35" s="79" t="s">
        <v>1529</v>
      </c>
      <c r="C35" s="73" t="s">
        <v>82</v>
      </c>
      <c r="D35" s="86" t="s">
        <v>1528</v>
      </c>
      <c r="E35" s="13" t="str">
        <f>HYPERLINK("https://youtu.be/XgP5RhukWWo","channel 1")</f>
        <v>channel 1</v>
      </c>
    </row>
    <row r="36">
      <c r="B36" s="79" t="s">
        <v>1531</v>
      </c>
      <c r="C36" s="73" t="s">
        <v>145</v>
      </c>
      <c r="D36" s="86" t="s">
        <v>1530</v>
      </c>
      <c r="E36" s="66" t="str">
        <f>HYPERLINK("https://youtu.be/920m-ntDTDY","channel 2")</f>
        <v>channel 2</v>
      </c>
    </row>
    <row r="37">
      <c r="B37" s="79" t="s">
        <v>1528</v>
      </c>
      <c r="C37" s="73" t="s">
        <v>10</v>
      </c>
      <c r="D37" s="86" t="s">
        <v>1194</v>
      </c>
      <c r="E37" s="13" t="str">
        <f>HYPERLINK("https://youtu.be/C0G4IA2IyoA","channel 1")</f>
        <v>channel 1</v>
      </c>
    </row>
    <row r="38">
      <c r="B38" s="79" t="s">
        <v>1529</v>
      </c>
      <c r="C38" s="73" t="s">
        <v>142</v>
      </c>
      <c r="D38" s="86" t="s">
        <v>1530</v>
      </c>
      <c r="E38" s="66" t="str">
        <f>HYPERLINK("https://youtu.be/2z19lERv5QY","channel 2")</f>
        <v>channel 2</v>
      </c>
    </row>
    <row r="39">
      <c r="B39" s="79" t="s">
        <v>1531</v>
      </c>
      <c r="C39" s="73" t="s">
        <v>59</v>
      </c>
      <c r="D39" s="86" t="s">
        <v>1194</v>
      </c>
      <c r="E39" s="13" t="str">
        <f>HYPERLINK("https://youtu.be/R_zTJdP9Rrw","channel 1")</f>
        <v>channel 1</v>
      </c>
    </row>
    <row r="40">
      <c r="B40" s="79" t="s">
        <v>1528</v>
      </c>
      <c r="C40" s="73" t="s">
        <v>20</v>
      </c>
      <c r="D40" s="86" t="s">
        <v>1530</v>
      </c>
      <c r="E40" s="66" t="str">
        <f>HYPERLINK("https://youtu.be/vBb2Hlx2-M8","channel 2")</f>
        <v>channel 2</v>
      </c>
    </row>
    <row r="41">
      <c r="B41" s="79" t="s">
        <v>1529</v>
      </c>
      <c r="C41" s="73" t="s">
        <v>148</v>
      </c>
      <c r="D41" s="86" t="s">
        <v>1194</v>
      </c>
      <c r="E41" s="13" t="str">
        <f>HYPERLINK("https://youtu.be/w-kS3ISgD9U","channel 1")</f>
        <v>channel 1</v>
      </c>
    </row>
    <row r="42">
      <c r="B42" s="79" t="s">
        <v>1528</v>
      </c>
      <c r="C42" s="73" t="s">
        <v>30</v>
      </c>
      <c r="D42" s="86" t="s">
        <v>1531</v>
      </c>
      <c r="E42" s="66" t="str">
        <f>HYPERLINK("https://youtu.be/u19MfJ72J04","channel 2")</f>
        <v>channel 2</v>
      </c>
    </row>
    <row r="43">
      <c r="B43" s="79" t="s">
        <v>1530</v>
      </c>
      <c r="C43" s="73" t="s">
        <v>46</v>
      </c>
      <c r="D43" s="86" t="s">
        <v>1194</v>
      </c>
      <c r="E43" s="13" t="str">
        <f>HYPERLINK("https://youtu.be/LG2Ya908WKs","channel 1")</f>
        <v>channel 1</v>
      </c>
    </row>
    <row r="44">
      <c r="B44" s="79" t="s">
        <v>1529</v>
      </c>
      <c r="C44" s="73" t="s">
        <v>109</v>
      </c>
      <c r="D44" s="86" t="s">
        <v>1531</v>
      </c>
      <c r="E44" s="66" t="str">
        <f>HYPERLINK("https://youtu.be/tjNM-V5tNAg","channel 2")</f>
        <v>channel 2</v>
      </c>
    </row>
    <row r="45">
      <c r="B45" s="57"/>
      <c r="C45" s="57"/>
      <c r="D45" s="57"/>
      <c r="E45" s="92"/>
    </row>
    <row r="46">
      <c r="B46" s="93"/>
      <c r="C46" s="94"/>
      <c r="D46" s="93"/>
      <c r="E46" s="93"/>
    </row>
    <row r="47">
      <c r="B47" s="99"/>
      <c r="C47" s="95"/>
      <c r="D47" s="47"/>
      <c r="E47" s="92"/>
    </row>
    <row r="48">
      <c r="B48" s="47"/>
      <c r="C48" s="95"/>
      <c r="D48" s="47"/>
      <c r="E48" s="92"/>
    </row>
    <row r="49">
      <c r="B49" s="47"/>
      <c r="C49" s="95"/>
      <c r="D49" s="47"/>
      <c r="E49" s="92"/>
    </row>
    <row r="50">
      <c r="B50" s="47"/>
      <c r="C50" s="95"/>
      <c r="D50" s="47"/>
      <c r="E50" s="92"/>
    </row>
    <row r="51">
      <c r="B51" s="47"/>
      <c r="C51" s="95"/>
      <c r="D51" s="47"/>
      <c r="E51" s="92"/>
    </row>
    <row r="52">
      <c r="B52" s="47"/>
      <c r="C52" s="95"/>
      <c r="D52" s="47"/>
      <c r="E52" s="92"/>
    </row>
    <row r="53">
      <c r="B53" s="47"/>
      <c r="C53" s="95"/>
      <c r="D53" s="47"/>
      <c r="E53" s="92"/>
    </row>
    <row r="54">
      <c r="B54" s="47"/>
      <c r="C54" s="95"/>
      <c r="D54" s="47"/>
      <c r="E54" s="92"/>
    </row>
    <row r="55">
      <c r="B55" s="47"/>
      <c r="C55" s="95"/>
      <c r="D55" s="47"/>
      <c r="E55" s="92"/>
    </row>
    <row r="56">
      <c r="B56" s="47"/>
      <c r="C56" s="95"/>
      <c r="D56" s="47"/>
      <c r="E56" s="92"/>
    </row>
    <row r="57">
      <c r="B57" s="47"/>
      <c r="C57" s="95"/>
      <c r="D57" s="47"/>
      <c r="E57" s="92"/>
    </row>
    <row r="58">
      <c r="B58" s="47"/>
      <c r="C58" s="95"/>
      <c r="D58" s="47"/>
      <c r="E58" s="92"/>
    </row>
    <row r="59">
      <c r="B59" s="47"/>
      <c r="C59" s="95"/>
      <c r="D59" s="47"/>
      <c r="E59" s="92"/>
    </row>
    <row r="60">
      <c r="B60" s="47"/>
      <c r="C60" s="95"/>
      <c r="D60" s="47"/>
      <c r="E60" s="92"/>
    </row>
    <row r="61">
      <c r="B61" s="47"/>
      <c r="C61" s="95"/>
      <c r="D61" s="47"/>
      <c r="E61" s="92"/>
    </row>
    <row r="62">
      <c r="B62" s="47"/>
      <c r="C62" s="95"/>
      <c r="D62" s="47"/>
      <c r="E62" s="92"/>
    </row>
    <row r="63">
      <c r="B63" s="47"/>
      <c r="C63" s="95"/>
      <c r="D63" s="47"/>
      <c r="E63" s="92"/>
    </row>
    <row r="64">
      <c r="B64" s="47"/>
      <c r="C64" s="95"/>
      <c r="D64" s="47"/>
      <c r="E64" s="92"/>
    </row>
    <row r="65">
      <c r="B65" s="47"/>
      <c r="C65" s="95"/>
      <c r="D65" s="47"/>
      <c r="E65" s="92"/>
    </row>
    <row r="66">
      <c r="B66" s="47"/>
      <c r="C66" s="95"/>
      <c r="D66" s="47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99"/>
      <c r="C69" s="95"/>
      <c r="D69" s="47"/>
      <c r="E69" s="92"/>
    </row>
    <row r="70">
      <c r="B70" s="47"/>
      <c r="C70" s="95"/>
      <c r="D70" s="47"/>
      <c r="E70" s="92"/>
    </row>
    <row r="71">
      <c r="B71" s="47"/>
      <c r="C71" s="95"/>
      <c r="D71" s="47"/>
      <c r="E71" s="92"/>
    </row>
    <row r="72">
      <c r="B72" s="47"/>
      <c r="C72" s="95"/>
      <c r="D72" s="47"/>
      <c r="E72" s="92"/>
    </row>
    <row r="73">
      <c r="B73" s="47"/>
      <c r="C73" s="95"/>
      <c r="D73" s="47"/>
      <c r="E73" s="92"/>
    </row>
    <row r="74">
      <c r="B74" s="47"/>
      <c r="C74" s="95"/>
      <c r="D74" s="47"/>
      <c r="E74" s="92"/>
    </row>
    <row r="75">
      <c r="B75" s="47"/>
      <c r="C75" s="95"/>
      <c r="D75" s="47"/>
      <c r="E75" s="92"/>
    </row>
    <row r="76">
      <c r="B76" s="47"/>
      <c r="C76" s="95"/>
      <c r="D76" s="47"/>
      <c r="E76" s="92"/>
    </row>
    <row r="77">
      <c r="B77" s="47"/>
      <c r="C77" s="95"/>
      <c r="D77" s="47"/>
      <c r="E77" s="92"/>
    </row>
    <row r="78">
      <c r="B78" s="47"/>
      <c r="C78" s="95"/>
      <c r="D78" s="47"/>
      <c r="E78" s="92"/>
    </row>
    <row r="79">
      <c r="B79" s="47"/>
      <c r="C79" s="95"/>
      <c r="D79" s="47"/>
      <c r="E79" s="92"/>
    </row>
    <row r="80">
      <c r="B80" s="47"/>
      <c r="C80" s="95"/>
      <c r="D80" s="47"/>
      <c r="E80" s="92"/>
    </row>
    <row r="81">
      <c r="B81" s="47"/>
      <c r="C81" s="95"/>
      <c r="D81" s="47"/>
      <c r="E81" s="92"/>
    </row>
    <row r="82">
      <c r="B82" s="47"/>
      <c r="C82" s="95"/>
      <c r="D82" s="47"/>
      <c r="E82" s="92"/>
    </row>
    <row r="83">
      <c r="B83" s="47"/>
      <c r="C83" s="95"/>
      <c r="D83" s="47"/>
      <c r="E83" s="92"/>
    </row>
    <row r="84">
      <c r="B84" s="47"/>
      <c r="C84" s="95"/>
      <c r="D84" s="47"/>
      <c r="E84" s="92"/>
    </row>
    <row r="85">
      <c r="B85" s="47"/>
      <c r="C85" s="95"/>
      <c r="D85" s="47"/>
      <c r="E85" s="92"/>
    </row>
    <row r="86">
      <c r="B86" s="47"/>
      <c r="C86" s="95"/>
      <c r="D86" s="47"/>
      <c r="E86" s="92"/>
    </row>
    <row r="87">
      <c r="B87" s="47"/>
      <c r="C87" s="95"/>
      <c r="D87" s="47"/>
      <c r="E87" s="92"/>
    </row>
    <row r="88">
      <c r="B88" s="47"/>
      <c r="C88" s="95"/>
      <c r="D88" s="47"/>
      <c r="E88" s="92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4">
    <mergeCell ref="A1:A88"/>
    <mergeCell ref="B1:D1"/>
    <mergeCell ref="B23:D23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1541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1519</v>
      </c>
      <c r="C3" s="73" t="s">
        <v>1542</v>
      </c>
      <c r="D3" s="71" t="s">
        <v>1070</v>
      </c>
      <c r="E3" s="13" t="str">
        <f>HYPERLINK("https://youtu.be/PnDdl_3_bu4","channel 1")</f>
        <v>channel 1</v>
      </c>
    </row>
    <row r="4">
      <c r="B4" s="72" t="s">
        <v>1543</v>
      </c>
      <c r="C4" s="73" t="s">
        <v>146</v>
      </c>
      <c r="D4" s="74" t="s">
        <v>1268</v>
      </c>
      <c r="E4" s="66" t="str">
        <f>HYPERLINK("https://youtu.be/yqdEcOXMDYg","channel 2")</f>
        <v>channel 2</v>
      </c>
    </row>
    <row r="5">
      <c r="B5" s="72" t="s">
        <v>1544</v>
      </c>
      <c r="C5" s="73" t="s">
        <v>1545</v>
      </c>
      <c r="D5" s="74" t="s">
        <v>1519</v>
      </c>
      <c r="E5" s="13" t="str">
        <f>HYPERLINK("https://youtu.be/M02yquJd4Pc","channel 1")</f>
        <v>channel 1</v>
      </c>
    </row>
    <row r="6">
      <c r="B6" s="72" t="s">
        <v>1543</v>
      </c>
      <c r="C6" s="73" t="s">
        <v>304</v>
      </c>
      <c r="D6" s="74" t="s">
        <v>1070</v>
      </c>
      <c r="E6" s="66" t="str">
        <f>HYPERLINK("https://youtu.be/f2vZ3rJXYSo","channel 2")</f>
        <v>channel 2</v>
      </c>
    </row>
    <row r="7">
      <c r="B7" s="72" t="s">
        <v>1544</v>
      </c>
      <c r="C7" s="73" t="s">
        <v>859</v>
      </c>
      <c r="D7" s="74" t="s">
        <v>1268</v>
      </c>
      <c r="E7" s="13" t="str">
        <f>HYPERLINK("https://youtu.be/Fpsbl_w8qCY","channel 1")</f>
        <v>channel 1</v>
      </c>
    </row>
    <row r="8">
      <c r="B8" s="72" t="s">
        <v>1543</v>
      </c>
      <c r="C8" s="73" t="s">
        <v>49</v>
      </c>
      <c r="D8" s="74" t="s">
        <v>1519</v>
      </c>
      <c r="E8" s="66" t="str">
        <f>HYPERLINK("https://youtu.be/Ph8uAT_I7nM","channel 2")</f>
        <v>channel 2</v>
      </c>
    </row>
    <row r="9">
      <c r="B9" s="72" t="s">
        <v>1544</v>
      </c>
      <c r="C9" s="73" t="s">
        <v>157</v>
      </c>
      <c r="D9" s="74" t="s">
        <v>1070</v>
      </c>
      <c r="E9" s="13" t="str">
        <f>HYPERLINK("https://youtu.be/bczvbaYU-s0","channel 1")</f>
        <v>channel 1</v>
      </c>
    </row>
    <row r="10">
      <c r="B10" s="72" t="s">
        <v>1268</v>
      </c>
      <c r="C10" s="73" t="s">
        <v>1159</v>
      </c>
      <c r="D10" s="74" t="s">
        <v>1519</v>
      </c>
      <c r="E10" s="66" t="str">
        <f>HYPERLINK("https://youtu.be/yeC7kpqkszU","channel 2")</f>
        <v>channel 2</v>
      </c>
    </row>
    <row r="11">
      <c r="B11" s="72" t="s">
        <v>1544</v>
      </c>
      <c r="C11" s="73" t="s">
        <v>1546</v>
      </c>
      <c r="D11" s="74" t="s">
        <v>1543</v>
      </c>
      <c r="E11" s="13" t="str">
        <f>HYPERLINK("https://youtu.be/GP7KRml75rg","channel 1")</f>
        <v>channel 1</v>
      </c>
    </row>
    <row r="12">
      <c r="B12" s="72" t="s">
        <v>1268</v>
      </c>
      <c r="C12" s="73" t="s">
        <v>34</v>
      </c>
      <c r="D12" s="74" t="s">
        <v>1070</v>
      </c>
      <c r="E12" s="66" t="str">
        <f>HYPERLINK("https://youtu.be/zZfDw8gQtig","channel 2")</f>
        <v>channel 2</v>
      </c>
    </row>
    <row r="13">
      <c r="B13" s="72" t="s">
        <v>1070</v>
      </c>
      <c r="C13" s="73" t="s">
        <v>10</v>
      </c>
      <c r="D13" s="74" t="s">
        <v>1519</v>
      </c>
      <c r="E13" s="13" t="str">
        <f>HYPERLINK("https://youtu.be/keaNdsZA-nY","channel 1")</f>
        <v>channel 1</v>
      </c>
    </row>
    <row r="14">
      <c r="B14" s="72" t="s">
        <v>1268</v>
      </c>
      <c r="C14" s="73" t="s">
        <v>18</v>
      </c>
      <c r="D14" s="74" t="s">
        <v>1543</v>
      </c>
      <c r="E14" s="66" t="str">
        <f>HYPERLINK("https://youtu.be/3eHdxnbuAJc","channel 2")</f>
        <v>channel 2</v>
      </c>
    </row>
    <row r="15">
      <c r="B15" s="72" t="s">
        <v>1519</v>
      </c>
      <c r="C15" s="73" t="s">
        <v>238</v>
      </c>
      <c r="D15" s="74" t="s">
        <v>1544</v>
      </c>
      <c r="E15" s="13" t="str">
        <f>HYPERLINK("https://youtu.be/7EjDDnOrbs8","channel 1")</f>
        <v>channel 1</v>
      </c>
    </row>
    <row r="16">
      <c r="B16" s="72" t="s">
        <v>1070</v>
      </c>
      <c r="C16" s="73" t="s">
        <v>113</v>
      </c>
      <c r="D16" s="74" t="s">
        <v>1543</v>
      </c>
      <c r="E16" s="66" t="str">
        <f>HYPERLINK("https://youtu.be/vw82ta5J1hw","channel 2")</f>
        <v>channel 2</v>
      </c>
    </row>
    <row r="17">
      <c r="B17" s="72" t="s">
        <v>1268</v>
      </c>
      <c r="C17" s="73" t="s">
        <v>74</v>
      </c>
      <c r="D17" s="74" t="s">
        <v>1544</v>
      </c>
      <c r="E17" s="13" t="str">
        <f>HYPERLINK("https://youtu.be/Adl1Vh1fnNk","channel 1")</f>
        <v>channel 1</v>
      </c>
    </row>
    <row r="18">
      <c r="B18" s="72" t="s">
        <v>1519</v>
      </c>
      <c r="C18" s="73" t="s">
        <v>277</v>
      </c>
      <c r="D18" s="74" t="s">
        <v>1543</v>
      </c>
      <c r="E18" s="66" t="str">
        <f>HYPERLINK("https://youtu.be/OkfTy5vbAeM","channel 2")</f>
        <v>channel 2</v>
      </c>
    </row>
    <row r="19">
      <c r="B19" s="72" t="s">
        <v>1070</v>
      </c>
      <c r="C19" s="73" t="s">
        <v>1548</v>
      </c>
      <c r="D19" s="74" t="s">
        <v>1544</v>
      </c>
      <c r="E19" s="13" t="str">
        <f>HYPERLINK("https://youtu.be/dyAIBeSnMCk","channel 1")</f>
        <v>channel 1</v>
      </c>
    </row>
    <row r="20">
      <c r="B20" s="72" t="s">
        <v>1519</v>
      </c>
      <c r="C20" s="73" t="s">
        <v>33</v>
      </c>
      <c r="D20" s="74" t="s">
        <v>1268</v>
      </c>
      <c r="E20" s="66" t="str">
        <f>HYPERLINK("https://youtu.be/AoIB8aKiEPY","channel 2")</f>
        <v>channel 2</v>
      </c>
    </row>
    <row r="21">
      <c r="B21" s="72" t="s">
        <v>1543</v>
      </c>
      <c r="C21" s="73" t="s">
        <v>77</v>
      </c>
      <c r="D21" s="74" t="s">
        <v>1544</v>
      </c>
      <c r="E21" s="13" t="str">
        <f>HYPERLINK("https://youtu.be/V9JKo4JXgYc","channel 1")</f>
        <v>channel 1</v>
      </c>
    </row>
    <row r="22">
      <c r="B22" s="72" t="s">
        <v>1070</v>
      </c>
      <c r="C22" s="73" t="s">
        <v>47</v>
      </c>
      <c r="D22" s="74" t="s">
        <v>1268</v>
      </c>
      <c r="E22" s="66" t="str">
        <f>HYPERLINK("https://youtu.be/zHvoS-cTjn8","channel 2")</f>
        <v>channel 2</v>
      </c>
    </row>
    <row r="23">
      <c r="B23" s="2" t="s">
        <v>1337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1549</v>
      </c>
      <c r="C25" s="73" t="s">
        <v>145</v>
      </c>
      <c r="D25" s="71" t="s">
        <v>1550</v>
      </c>
      <c r="E25" s="13" t="str">
        <f>HYPERLINK("https://youtu.be/F7T7COd_Zn0","channel 1")</f>
        <v>channel 1</v>
      </c>
    </row>
    <row r="26">
      <c r="B26" s="72" t="s">
        <v>1551</v>
      </c>
      <c r="C26" s="73" t="s">
        <v>260</v>
      </c>
      <c r="D26" s="74" t="s">
        <v>1507</v>
      </c>
      <c r="E26" s="66" t="str">
        <f>HYPERLINK("https://youtu.be/g83a0dQ-Dug","channel 2")</f>
        <v>channel 2</v>
      </c>
    </row>
    <row r="27">
      <c r="B27" s="72" t="s">
        <v>1552</v>
      </c>
      <c r="C27" s="73" t="s">
        <v>145</v>
      </c>
      <c r="D27" s="74" t="s">
        <v>1549</v>
      </c>
      <c r="E27" s="13" t="str">
        <f>HYPERLINK("https://youtu.be/Hjm9AMXCjTc","channel 1")</f>
        <v>channel 1</v>
      </c>
    </row>
    <row r="28">
      <c r="B28" s="72" t="s">
        <v>1551</v>
      </c>
      <c r="C28" s="73" t="s">
        <v>59</v>
      </c>
      <c r="D28" s="74" t="s">
        <v>1550</v>
      </c>
      <c r="E28" s="66" t="str">
        <f>HYPERLINK("https://youtu.be/DFNmoPLBXJo","channel 2")</f>
        <v>channel 2</v>
      </c>
    </row>
    <row r="29">
      <c r="B29" s="72" t="s">
        <v>1552</v>
      </c>
      <c r="C29" s="73" t="s">
        <v>212</v>
      </c>
      <c r="D29" s="74" t="s">
        <v>1507</v>
      </c>
      <c r="E29" s="13" t="str">
        <f>HYPERLINK("https://youtu.be/fZ38WbG99Mc","channel 1")</f>
        <v>channel 1</v>
      </c>
    </row>
    <row r="30">
      <c r="B30" s="72" t="s">
        <v>1551</v>
      </c>
      <c r="C30" s="73" t="s">
        <v>297</v>
      </c>
      <c r="D30" s="74" t="s">
        <v>1549</v>
      </c>
      <c r="E30" s="66" t="str">
        <f>HYPERLINK("https://youtu.be/RBbtBp07m8o","channel 2")</f>
        <v>channel 2</v>
      </c>
    </row>
    <row r="31">
      <c r="B31" s="72" t="s">
        <v>1552</v>
      </c>
      <c r="C31" s="73" t="s">
        <v>1553</v>
      </c>
      <c r="D31" s="74" t="s">
        <v>1550</v>
      </c>
      <c r="E31" s="13" t="str">
        <f>HYPERLINK("https://youtu.be/jpdWOw0Nwjk","channel 1")</f>
        <v>channel 1</v>
      </c>
    </row>
    <row r="32">
      <c r="B32" s="72" t="s">
        <v>1507</v>
      </c>
      <c r="C32" s="73" t="s">
        <v>575</v>
      </c>
      <c r="D32" s="74" t="s">
        <v>1549</v>
      </c>
      <c r="E32" s="66" t="str">
        <f>HYPERLINK("https://youtu.be/u4TGHyQ0ua4","channel 2")</f>
        <v>channel 2</v>
      </c>
    </row>
    <row r="33">
      <c r="B33" s="72" t="s">
        <v>1552</v>
      </c>
      <c r="C33" s="73" t="s">
        <v>1554</v>
      </c>
      <c r="D33" s="74" t="s">
        <v>1551</v>
      </c>
      <c r="E33" s="13" t="str">
        <f>HYPERLINK("https://youtu.be/gNLNeB3bUsk","channel 1")</f>
        <v>channel 1</v>
      </c>
    </row>
    <row r="34">
      <c r="B34" s="72" t="s">
        <v>1507</v>
      </c>
      <c r="C34" s="73" t="s">
        <v>37</v>
      </c>
      <c r="D34" s="74" t="s">
        <v>1550</v>
      </c>
      <c r="E34" s="66" t="str">
        <f>HYPERLINK("https://youtu.be/SFCnPdqOTqY","channel 2")</f>
        <v>channel 2</v>
      </c>
    </row>
    <row r="35">
      <c r="B35" s="72" t="s">
        <v>1550</v>
      </c>
      <c r="C35" s="73" t="s">
        <v>1555</v>
      </c>
      <c r="D35" s="74" t="s">
        <v>1549</v>
      </c>
      <c r="E35" s="13" t="str">
        <f>HYPERLINK("https://youtu.be/UF-KIjDa_IA","channel 1")</f>
        <v>channel 1</v>
      </c>
    </row>
    <row r="36">
      <c r="B36" s="72" t="s">
        <v>1507</v>
      </c>
      <c r="C36" s="73" t="s">
        <v>61</v>
      </c>
      <c r="D36" s="74" t="s">
        <v>1551</v>
      </c>
      <c r="E36" s="66" t="str">
        <f>HYPERLINK("https://youtu.be/_9TqZUDSCnI","channel 2")</f>
        <v>channel 2</v>
      </c>
    </row>
    <row r="37">
      <c r="B37" s="72" t="s">
        <v>1549</v>
      </c>
      <c r="C37" s="73" t="s">
        <v>46</v>
      </c>
      <c r="D37" s="74" t="s">
        <v>1552</v>
      </c>
      <c r="E37" s="13" t="str">
        <f>HYPERLINK("https://youtu.be/k-nl5aLblqc","channel 1")</f>
        <v>channel 1</v>
      </c>
    </row>
    <row r="38">
      <c r="B38" s="72" t="s">
        <v>1550</v>
      </c>
      <c r="C38" s="73" t="s">
        <v>180</v>
      </c>
      <c r="D38" s="74" t="s">
        <v>1551</v>
      </c>
      <c r="E38" s="66" t="str">
        <f>HYPERLINK("https://youtu.be/XfNukFEJGCs","channel 2")</f>
        <v>channel 2</v>
      </c>
    </row>
    <row r="39">
      <c r="B39" s="72" t="s">
        <v>1507</v>
      </c>
      <c r="C39" s="73" t="s">
        <v>30</v>
      </c>
      <c r="D39" s="74" t="s">
        <v>1552</v>
      </c>
      <c r="E39" s="13" t="str">
        <f>HYPERLINK("https://youtu.be/kCxtsvpqPkI","channel 1")</f>
        <v>channel 1</v>
      </c>
    </row>
    <row r="40">
      <c r="B40" s="72" t="s">
        <v>1549</v>
      </c>
      <c r="C40" s="73" t="s">
        <v>37</v>
      </c>
      <c r="D40" s="74" t="s">
        <v>1551</v>
      </c>
      <c r="E40" s="66" t="str">
        <f>HYPERLINK("https://youtu.be/OwI5-Lpee7U","channel 2")</f>
        <v>channel 2</v>
      </c>
    </row>
    <row r="41">
      <c r="B41" s="72" t="s">
        <v>1550</v>
      </c>
      <c r="C41" s="73" t="s">
        <v>1556</v>
      </c>
      <c r="D41" s="74" t="s">
        <v>1552</v>
      </c>
      <c r="E41" s="13" t="str">
        <f>HYPERLINK("https://youtu.be/RlCr_G2ifl0","channel 1")</f>
        <v>channel 1</v>
      </c>
    </row>
    <row r="42">
      <c r="B42" s="72" t="s">
        <v>1549</v>
      </c>
      <c r="C42" s="73" t="s">
        <v>272</v>
      </c>
      <c r="D42" s="74" t="s">
        <v>1507</v>
      </c>
      <c r="E42" s="66" t="str">
        <f>HYPERLINK("https://youtu.be/MAOjE6s-PnI","channel 2")</f>
        <v>channel 2</v>
      </c>
    </row>
    <row r="43">
      <c r="B43" s="72" t="s">
        <v>1551</v>
      </c>
      <c r="C43" s="73" t="s">
        <v>148</v>
      </c>
      <c r="D43" s="74" t="s">
        <v>1552</v>
      </c>
      <c r="E43" s="13" t="str">
        <f>HYPERLINK("https://youtu.be/Hd8Ltg7IDBY","channel 1")</f>
        <v>channel 1</v>
      </c>
    </row>
    <row r="44">
      <c r="B44" s="72" t="s">
        <v>1550</v>
      </c>
      <c r="C44" s="73" t="s">
        <v>179</v>
      </c>
      <c r="D44" s="74" t="s">
        <v>1507</v>
      </c>
      <c r="E44" s="66" t="str">
        <f>HYPERLINK("https://youtu.be/7moDU1Soxdg","channel 2")</f>
        <v>channel 2</v>
      </c>
    </row>
    <row r="45">
      <c r="B45" s="57"/>
      <c r="E45" s="92"/>
    </row>
    <row r="46">
      <c r="B46" s="93"/>
      <c r="C46" s="94"/>
      <c r="D46" s="93"/>
      <c r="E46" s="93"/>
    </row>
    <row r="47">
      <c r="B47" s="99"/>
      <c r="C47" s="95"/>
      <c r="D47" s="47"/>
      <c r="E47" s="92"/>
    </row>
    <row r="48">
      <c r="B48" s="47"/>
      <c r="C48" s="95"/>
      <c r="D48" s="47"/>
      <c r="E48" s="92"/>
    </row>
    <row r="49">
      <c r="B49" s="47"/>
      <c r="C49" s="95"/>
      <c r="D49" s="47"/>
      <c r="E49" s="92"/>
    </row>
    <row r="50">
      <c r="B50" s="47"/>
      <c r="C50" s="95"/>
      <c r="D50" s="47"/>
      <c r="E50" s="92"/>
    </row>
    <row r="51">
      <c r="B51" s="47"/>
      <c r="C51" s="95"/>
      <c r="D51" s="47"/>
      <c r="E51" s="92"/>
    </row>
    <row r="52">
      <c r="B52" s="47"/>
      <c r="C52" s="95"/>
      <c r="D52" s="47"/>
      <c r="E52" s="92"/>
    </row>
    <row r="53">
      <c r="B53" s="47"/>
      <c r="C53" s="95"/>
      <c r="D53" s="47"/>
      <c r="E53" s="92"/>
    </row>
    <row r="54">
      <c r="B54" s="47"/>
      <c r="C54" s="95"/>
      <c r="D54" s="47"/>
      <c r="E54" s="92"/>
    </row>
    <row r="55">
      <c r="B55" s="47"/>
      <c r="C55" s="95"/>
      <c r="D55" s="47"/>
      <c r="E55" s="92"/>
    </row>
    <row r="56">
      <c r="B56" s="47"/>
      <c r="C56" s="95"/>
      <c r="D56" s="47"/>
      <c r="E56" s="92"/>
    </row>
    <row r="57">
      <c r="B57" s="47"/>
      <c r="C57" s="95"/>
      <c r="D57" s="47"/>
      <c r="E57" s="92"/>
    </row>
    <row r="58">
      <c r="B58" s="47"/>
      <c r="C58" s="95"/>
      <c r="D58" s="47"/>
      <c r="E58" s="92"/>
    </row>
    <row r="59">
      <c r="B59" s="47"/>
      <c r="C59" s="95"/>
      <c r="D59" s="47"/>
      <c r="E59" s="92"/>
    </row>
    <row r="60">
      <c r="B60" s="47"/>
      <c r="C60" s="95"/>
      <c r="D60" s="47"/>
      <c r="E60" s="92"/>
    </row>
    <row r="61">
      <c r="B61" s="47"/>
      <c r="C61" s="95"/>
      <c r="D61" s="47"/>
      <c r="E61" s="92"/>
    </row>
    <row r="62">
      <c r="B62" s="47"/>
      <c r="C62" s="95"/>
      <c r="D62" s="47"/>
      <c r="E62" s="92"/>
    </row>
    <row r="63">
      <c r="B63" s="47"/>
      <c r="C63" s="95"/>
      <c r="D63" s="47"/>
      <c r="E63" s="92"/>
    </row>
    <row r="64">
      <c r="B64" s="47"/>
      <c r="C64" s="95"/>
      <c r="D64" s="47"/>
      <c r="E64" s="92"/>
    </row>
    <row r="65">
      <c r="B65" s="47"/>
      <c r="C65" s="95"/>
      <c r="D65" s="47"/>
      <c r="E65" s="92"/>
    </row>
    <row r="66">
      <c r="B66" s="47"/>
      <c r="C66" s="95"/>
      <c r="D66" s="47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99"/>
      <c r="C69" s="95"/>
      <c r="D69" s="47"/>
      <c r="E69" s="92"/>
    </row>
    <row r="70">
      <c r="B70" s="47"/>
      <c r="C70" s="95"/>
      <c r="D70" s="47"/>
      <c r="E70" s="92"/>
    </row>
    <row r="71">
      <c r="B71" s="47"/>
      <c r="C71" s="95"/>
      <c r="D71" s="47"/>
      <c r="E71" s="92"/>
    </row>
    <row r="72">
      <c r="B72" s="47"/>
      <c r="C72" s="95"/>
      <c r="D72" s="47"/>
      <c r="E72" s="92"/>
    </row>
    <row r="73">
      <c r="B73" s="47"/>
      <c r="C73" s="95"/>
      <c r="D73" s="47"/>
      <c r="E73" s="92"/>
    </row>
    <row r="74">
      <c r="B74" s="47"/>
      <c r="C74" s="95"/>
      <c r="D74" s="47"/>
      <c r="E74" s="92"/>
    </row>
    <row r="75">
      <c r="B75" s="47"/>
      <c r="C75" s="95"/>
      <c r="D75" s="47"/>
      <c r="E75" s="92"/>
    </row>
    <row r="76">
      <c r="B76" s="47"/>
      <c r="C76" s="95"/>
      <c r="D76" s="47"/>
      <c r="E76" s="92"/>
    </row>
    <row r="77">
      <c r="B77" s="47"/>
      <c r="C77" s="95"/>
      <c r="D77" s="47"/>
      <c r="E77" s="92"/>
    </row>
    <row r="78">
      <c r="B78" s="47"/>
      <c r="C78" s="95"/>
      <c r="D78" s="47"/>
      <c r="E78" s="92"/>
    </row>
    <row r="79">
      <c r="B79" s="47"/>
      <c r="C79" s="95"/>
      <c r="D79" s="47"/>
      <c r="E79" s="92"/>
    </row>
    <row r="80">
      <c r="B80" s="47"/>
      <c r="C80" s="95"/>
      <c r="D80" s="47"/>
      <c r="E80" s="92"/>
    </row>
    <row r="81">
      <c r="B81" s="47"/>
      <c r="C81" s="95"/>
      <c r="D81" s="47"/>
      <c r="E81" s="92"/>
    </row>
    <row r="82">
      <c r="B82" s="47"/>
      <c r="C82" s="95"/>
      <c r="D82" s="47"/>
      <c r="E82" s="92"/>
    </row>
    <row r="83">
      <c r="B83" s="47"/>
      <c r="C83" s="95"/>
      <c r="D83" s="47"/>
      <c r="E83" s="92"/>
    </row>
    <row r="84">
      <c r="B84" s="47"/>
      <c r="C84" s="95"/>
      <c r="D84" s="47"/>
      <c r="E84" s="92"/>
    </row>
    <row r="85">
      <c r="B85" s="47"/>
      <c r="C85" s="95"/>
      <c r="D85" s="47"/>
      <c r="E85" s="92"/>
    </row>
    <row r="86">
      <c r="B86" s="47"/>
      <c r="C86" s="95"/>
      <c r="D86" s="47"/>
      <c r="E86" s="92"/>
    </row>
    <row r="87">
      <c r="B87" s="47"/>
      <c r="C87" s="95"/>
      <c r="D87" s="47"/>
      <c r="E87" s="92"/>
    </row>
    <row r="88">
      <c r="B88" s="47"/>
      <c r="C88" s="95"/>
      <c r="D88" s="47"/>
      <c r="E88" s="92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1547</v>
      </c>
      <c r="C3" s="73" t="s">
        <v>322</v>
      </c>
      <c r="D3" s="71" t="s">
        <v>1474</v>
      </c>
      <c r="E3" s="13" t="str">
        <f>HYPERLINK("https://youtu.be/ik2h8sciyU4","channel 1")</f>
        <v>channel 1</v>
      </c>
    </row>
    <row r="4">
      <c r="B4" s="72" t="s">
        <v>1007</v>
      </c>
      <c r="C4" s="73" t="s">
        <v>18</v>
      </c>
      <c r="D4" s="74" t="s">
        <v>123</v>
      </c>
      <c r="E4" s="66" t="str">
        <f>HYPERLINK("https://youtu.be/H7bDWn087nA","channel 2")</f>
        <v>channel 2</v>
      </c>
    </row>
    <row r="5">
      <c r="B5" s="72" t="s">
        <v>1365</v>
      </c>
      <c r="C5" s="73" t="s">
        <v>97</v>
      </c>
      <c r="D5" s="74" t="s">
        <v>1547</v>
      </c>
      <c r="E5" s="13" t="str">
        <f>HYPERLINK("https://youtu.be/R0aUaxAZHrM","channel 1")</f>
        <v>channel 1</v>
      </c>
    </row>
    <row r="6">
      <c r="B6" s="72" t="s">
        <v>1007</v>
      </c>
      <c r="C6" s="73" t="s">
        <v>180</v>
      </c>
      <c r="D6" s="74" t="s">
        <v>1474</v>
      </c>
      <c r="E6" s="66" t="str">
        <f>HYPERLINK("https://youtu.be/M2RNY6CtLn4","channel 2")</f>
        <v>channel 2</v>
      </c>
    </row>
    <row r="7">
      <c r="B7" s="72" t="s">
        <v>1365</v>
      </c>
      <c r="C7" s="73" t="s">
        <v>10</v>
      </c>
      <c r="D7" s="74" t="s">
        <v>123</v>
      </c>
      <c r="E7" s="13" t="str">
        <f>HYPERLINK("https://youtu.be/eK0Tjf-lgW8","channel 1")</f>
        <v>channel 1</v>
      </c>
    </row>
    <row r="8">
      <c r="B8" s="72" t="s">
        <v>1007</v>
      </c>
      <c r="C8" s="73" t="s">
        <v>47</v>
      </c>
      <c r="D8" s="74" t="s">
        <v>1547</v>
      </c>
      <c r="E8" s="66" t="str">
        <f>HYPERLINK("https://youtu.be/XdaXIEw3K1Y","channel 2")</f>
        <v>channel 2</v>
      </c>
    </row>
    <row r="9">
      <c r="B9" s="72" t="s">
        <v>1365</v>
      </c>
      <c r="C9" s="73" t="s">
        <v>124</v>
      </c>
      <c r="D9" s="74" t="s">
        <v>1474</v>
      </c>
      <c r="E9" s="13" t="str">
        <f>HYPERLINK("https://youtu.be/POykToMaP3g","channel 1")</f>
        <v>channel 1</v>
      </c>
    </row>
    <row r="10">
      <c r="B10" s="72" t="s">
        <v>123</v>
      </c>
      <c r="C10" s="73" t="s">
        <v>93</v>
      </c>
      <c r="D10" s="74" t="s">
        <v>1547</v>
      </c>
      <c r="E10" s="66" t="str">
        <f>HYPERLINK("https://youtu.be/zrh_H8XgRMk","channel 2")</f>
        <v>channel 2</v>
      </c>
    </row>
    <row r="11">
      <c r="B11" s="72" t="s">
        <v>1365</v>
      </c>
      <c r="C11" s="73" t="s">
        <v>61</v>
      </c>
      <c r="D11" s="74" t="s">
        <v>1007</v>
      </c>
      <c r="E11" s="13" t="str">
        <f>HYPERLINK("https://youtu.be/f46D_60sGSw","channel 1")</f>
        <v>channel 1</v>
      </c>
    </row>
    <row r="12">
      <c r="B12" s="72" t="s">
        <v>123</v>
      </c>
      <c r="C12" s="73" t="s">
        <v>18</v>
      </c>
      <c r="D12" s="74" t="s">
        <v>1474</v>
      </c>
      <c r="E12" s="66" t="str">
        <f>HYPERLINK("https://youtu.be/WB4iqo3452g","channel 2")</f>
        <v>channel 2</v>
      </c>
    </row>
    <row r="13">
      <c r="B13" s="72" t="s">
        <v>1474</v>
      </c>
      <c r="C13" s="73" t="s">
        <v>148</v>
      </c>
      <c r="D13" s="74" t="s">
        <v>1547</v>
      </c>
      <c r="E13" s="13" t="str">
        <f>HYPERLINK("https://youtu.be/7dsfOiAf2zw","channel 1")</f>
        <v>channel 1</v>
      </c>
    </row>
    <row r="14">
      <c r="B14" s="72" t="s">
        <v>123</v>
      </c>
      <c r="C14" s="73" t="s">
        <v>106</v>
      </c>
      <c r="D14" s="74" t="s">
        <v>1007</v>
      </c>
      <c r="E14" s="66" t="str">
        <f>HYPERLINK("https://youtu.be/gtCmA0v2RLs","channel 2")</f>
        <v>channel 2</v>
      </c>
    </row>
    <row r="15">
      <c r="B15" s="72" t="s">
        <v>1547</v>
      </c>
      <c r="C15" s="73" t="s">
        <v>88</v>
      </c>
      <c r="D15" s="74" t="s">
        <v>1365</v>
      </c>
      <c r="E15" s="13" t="str">
        <f>HYPERLINK("https://youtu.be/TviD2PcbDdo","channel 1")</f>
        <v>channel 1</v>
      </c>
    </row>
    <row r="16">
      <c r="B16" s="72" t="s">
        <v>1474</v>
      </c>
      <c r="C16" s="73" t="s">
        <v>77</v>
      </c>
      <c r="D16" s="74" t="s">
        <v>1007</v>
      </c>
      <c r="E16" s="66" t="str">
        <f>HYPERLINK("https://youtu.be/5ABfJimpq8Y","channel 2")</f>
        <v>channel 2</v>
      </c>
    </row>
    <row r="17">
      <c r="B17" s="72" t="s">
        <v>123</v>
      </c>
      <c r="C17" s="73" t="s">
        <v>157</v>
      </c>
      <c r="D17" s="74" t="s">
        <v>1365</v>
      </c>
      <c r="E17" s="13" t="str">
        <f>HYPERLINK("https://youtu.be/9SsoMEbo_BU","channel 1")</f>
        <v>channel 1</v>
      </c>
    </row>
    <row r="18">
      <c r="B18" s="72" t="s">
        <v>1547</v>
      </c>
      <c r="C18" s="73" t="s">
        <v>10</v>
      </c>
      <c r="D18" s="74" t="s">
        <v>1007</v>
      </c>
      <c r="E18" s="66" t="str">
        <f>HYPERLINK("https://youtu.be/YjPBQ7L0nUY","channel 2")</f>
        <v>channel 2</v>
      </c>
    </row>
    <row r="19">
      <c r="B19" s="72" t="s">
        <v>1474</v>
      </c>
      <c r="C19" s="73" t="s">
        <v>436</v>
      </c>
      <c r="D19" s="74" t="s">
        <v>1365</v>
      </c>
      <c r="E19" s="13" t="str">
        <f>HYPERLINK("https://youtu.be/x8Fw98nb6v8","channel 1")</f>
        <v>channel 1</v>
      </c>
    </row>
    <row r="20">
      <c r="B20" s="72" t="s">
        <v>1547</v>
      </c>
      <c r="C20" s="73" t="s">
        <v>49</v>
      </c>
      <c r="D20" s="74" t="s">
        <v>123</v>
      </c>
      <c r="E20" s="66" t="str">
        <f>HYPERLINK("https://youtu.be/l9XMsEnNL84","channel 2")</f>
        <v>channel 2</v>
      </c>
    </row>
    <row r="21">
      <c r="B21" s="72" t="s">
        <v>1007</v>
      </c>
      <c r="C21" s="73" t="s">
        <v>1470</v>
      </c>
      <c r="D21" s="74" t="s">
        <v>1365</v>
      </c>
      <c r="E21" s="13" t="str">
        <f>HYPERLINK("https://youtu.be/64dIb1AnDos","channel 1")</f>
        <v>channel 1</v>
      </c>
    </row>
    <row r="22">
      <c r="B22" s="72" t="s">
        <v>1474</v>
      </c>
      <c r="C22" s="73" t="s">
        <v>104</v>
      </c>
      <c r="D22" s="74" t="s">
        <v>123</v>
      </c>
      <c r="E22" s="66" t="str">
        <f>HYPERLINK("https://youtu.be/EVQCBVhMxNQ","channel 2")</f>
        <v>channel 2</v>
      </c>
    </row>
    <row r="23">
      <c r="B23" s="2" t="s">
        <v>676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979</v>
      </c>
      <c r="C25" s="73" t="s">
        <v>103</v>
      </c>
      <c r="D25" s="71" t="s">
        <v>654</v>
      </c>
      <c r="E25" s="13" t="str">
        <f>HYPERLINK("https://youtu.be/nV4N8sTXNwc","channel 1")</f>
        <v>channel 1</v>
      </c>
    </row>
    <row r="26">
      <c r="B26" s="72" t="s">
        <v>203</v>
      </c>
      <c r="C26" s="73" t="s">
        <v>1557</v>
      </c>
      <c r="D26" s="74" t="s">
        <v>351</v>
      </c>
      <c r="E26" s="66" t="str">
        <f>HYPERLINK("https://youtu.be/oumGtGZhQQ4","channel 2")</f>
        <v>channel 2</v>
      </c>
    </row>
    <row r="27">
      <c r="B27" s="72" t="s">
        <v>980</v>
      </c>
      <c r="C27" s="73" t="s">
        <v>494</v>
      </c>
      <c r="D27" s="74" t="s">
        <v>979</v>
      </c>
      <c r="E27" s="13" t="str">
        <f>HYPERLINK("https://youtu.be/gZjcg_2wQ0c","channel 1")</f>
        <v>channel 1</v>
      </c>
    </row>
    <row r="28">
      <c r="B28" s="72" t="s">
        <v>203</v>
      </c>
      <c r="C28" s="73" t="s">
        <v>90</v>
      </c>
      <c r="D28" s="74" t="s">
        <v>654</v>
      </c>
      <c r="E28" s="66" t="str">
        <f>HYPERLINK("https://youtu.be/wyksgz2MbHs","channel 2")</f>
        <v>channel 2</v>
      </c>
    </row>
    <row r="29">
      <c r="B29" s="72" t="s">
        <v>980</v>
      </c>
      <c r="C29" s="73" t="s">
        <v>35</v>
      </c>
      <c r="D29" s="74" t="s">
        <v>351</v>
      </c>
      <c r="E29" s="13" t="str">
        <f>HYPERLINK("https://youtu.be/hmWvP4AiZ7Y","channel 1")</f>
        <v>channel 1</v>
      </c>
    </row>
    <row r="30">
      <c r="B30" s="72" t="s">
        <v>203</v>
      </c>
      <c r="C30" s="73" t="s">
        <v>37</v>
      </c>
      <c r="D30" s="74" t="s">
        <v>979</v>
      </c>
      <c r="E30" s="66" t="str">
        <f>HYPERLINK("https://youtu.be/G5TAEuub7I4","channel 2")</f>
        <v>channel 2</v>
      </c>
    </row>
    <row r="31">
      <c r="B31" s="72" t="s">
        <v>980</v>
      </c>
      <c r="C31" s="73" t="s">
        <v>180</v>
      </c>
      <c r="D31" s="74" t="s">
        <v>654</v>
      </c>
      <c r="E31" s="13" t="str">
        <f>HYPERLINK("https://youtu.be/MAFWAvCjfk4","channel 1")</f>
        <v>channel 1</v>
      </c>
    </row>
    <row r="32">
      <c r="B32" s="72" t="s">
        <v>351</v>
      </c>
      <c r="C32" s="73" t="s">
        <v>460</v>
      </c>
      <c r="D32" s="74" t="s">
        <v>979</v>
      </c>
      <c r="E32" s="66" t="str">
        <f>HYPERLINK("https://youtu.be/ciz__JENoo0","channel 2")</f>
        <v>channel 2</v>
      </c>
    </row>
    <row r="33">
      <c r="B33" s="72" t="s">
        <v>980</v>
      </c>
      <c r="C33" s="73" t="s">
        <v>1157</v>
      </c>
      <c r="D33" s="74" t="s">
        <v>203</v>
      </c>
      <c r="E33" s="13" t="str">
        <f>HYPERLINK("https://youtu.be/_jYrhY3_uo0","channel 1")</f>
        <v>channel 1</v>
      </c>
    </row>
    <row r="34">
      <c r="B34" s="72" t="s">
        <v>351</v>
      </c>
      <c r="C34" s="73" t="s">
        <v>74</v>
      </c>
      <c r="D34" s="74" t="s">
        <v>654</v>
      </c>
      <c r="E34" s="66" t="str">
        <f>HYPERLINK("https://youtu.be/IFoGBt8m3og","channel 2")</f>
        <v>channel 2</v>
      </c>
    </row>
    <row r="35">
      <c r="B35" s="72" t="s">
        <v>654</v>
      </c>
      <c r="C35" s="73" t="s">
        <v>141</v>
      </c>
      <c r="D35" s="74" t="s">
        <v>979</v>
      </c>
      <c r="E35" s="13" t="str">
        <f>HYPERLINK("https://youtu.be/VkGbQHsrt34","channel 1")</f>
        <v>channel 1</v>
      </c>
    </row>
    <row r="36">
      <c r="B36" s="72" t="s">
        <v>351</v>
      </c>
      <c r="C36" s="73" t="s">
        <v>108</v>
      </c>
      <c r="D36" s="74" t="s">
        <v>203</v>
      </c>
      <c r="E36" s="66" t="str">
        <f>HYPERLINK("https://youtu.be/yD12fNnYxQk","channel 2")</f>
        <v>channel 2</v>
      </c>
    </row>
    <row r="37">
      <c r="B37" s="72" t="s">
        <v>979</v>
      </c>
      <c r="C37" s="73" t="s">
        <v>57</v>
      </c>
      <c r="D37" s="74" t="s">
        <v>980</v>
      </c>
      <c r="E37" s="13" t="str">
        <f>HYPERLINK("https://youtu.be/ssA0UqPcYcc","channel 1")</f>
        <v>channel 1</v>
      </c>
    </row>
    <row r="38">
      <c r="B38" s="72" t="s">
        <v>654</v>
      </c>
      <c r="C38" s="73" t="s">
        <v>59</v>
      </c>
      <c r="D38" s="74" t="s">
        <v>203</v>
      </c>
      <c r="E38" s="66" t="str">
        <f>HYPERLINK("https://youtu.be/3HQFEoBG_ks","channel 2")</f>
        <v>channel 2</v>
      </c>
    </row>
    <row r="39">
      <c r="B39" s="72" t="s">
        <v>351</v>
      </c>
      <c r="C39" s="73" t="s">
        <v>358</v>
      </c>
      <c r="D39" s="74" t="s">
        <v>980</v>
      </c>
      <c r="E39" s="13" t="str">
        <f>HYPERLINK("https://youtu.be/fCkAdQ0Fvr0","channel 1")</f>
        <v>channel 1</v>
      </c>
    </row>
    <row r="40">
      <c r="B40" s="72" t="s">
        <v>979</v>
      </c>
      <c r="C40" s="73" t="s">
        <v>156</v>
      </c>
      <c r="D40" s="74" t="s">
        <v>203</v>
      </c>
      <c r="E40" s="66" t="str">
        <f>HYPERLINK("https://youtu.be/WqDufSZeUJA","channel 2")</f>
        <v>channel 2</v>
      </c>
    </row>
    <row r="41">
      <c r="B41" s="72" t="s">
        <v>654</v>
      </c>
      <c r="C41" s="73" t="s">
        <v>143</v>
      </c>
      <c r="D41" s="74" t="s">
        <v>980</v>
      </c>
      <c r="E41" s="13" t="str">
        <f>HYPERLINK("https://youtu.be/hWj1y_O1DGM","channel 1")</f>
        <v>channel 1</v>
      </c>
    </row>
    <row r="42">
      <c r="B42" s="72" t="s">
        <v>979</v>
      </c>
      <c r="C42" s="73" t="s">
        <v>109</v>
      </c>
      <c r="D42" s="74" t="s">
        <v>351</v>
      </c>
      <c r="E42" s="66" t="str">
        <f>HYPERLINK("https://youtu.be/rCuc75sEf40","channel 2")</f>
        <v>channel 2</v>
      </c>
    </row>
    <row r="43">
      <c r="B43" s="72" t="s">
        <v>203</v>
      </c>
      <c r="C43" s="73" t="s">
        <v>193</v>
      </c>
      <c r="D43" s="74" t="s">
        <v>980</v>
      </c>
      <c r="E43" s="13" t="str">
        <f>HYPERLINK("https://youtu.be/lES7k91pBYI","channel 1")</f>
        <v>channel 1</v>
      </c>
    </row>
    <row r="44">
      <c r="B44" s="72" t="s">
        <v>654</v>
      </c>
      <c r="C44" s="73" t="s">
        <v>108</v>
      </c>
      <c r="D44" s="74" t="s">
        <v>351</v>
      </c>
      <c r="E44" s="66" t="str">
        <f>HYPERLINK("https://youtu.be/w0pNer-uLCk","channel 2")</f>
        <v>channel 2</v>
      </c>
    </row>
    <row r="45">
      <c r="B45" s="2" t="s">
        <v>971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930</v>
      </c>
      <c r="C47" s="73" t="s">
        <v>97</v>
      </c>
      <c r="D47" s="71" t="s">
        <v>1560</v>
      </c>
      <c r="E47" s="13" t="str">
        <f>HYPERLINK("https://youtu.be/DMdPXRTCcvM","channel 1")</f>
        <v>channel 1</v>
      </c>
    </row>
    <row r="48">
      <c r="B48" s="72" t="s">
        <v>1154</v>
      </c>
      <c r="C48" s="73" t="s">
        <v>10</v>
      </c>
      <c r="D48" s="74" t="s">
        <v>1561</v>
      </c>
      <c r="E48" s="66" t="str">
        <f>HYPERLINK("https://youtu.be/UMTZsnD1O-A","channel 2")</f>
        <v>channel 2</v>
      </c>
    </row>
    <row r="49">
      <c r="B49" s="72" t="s">
        <v>1562</v>
      </c>
      <c r="C49" s="73" t="s">
        <v>46</v>
      </c>
      <c r="D49" s="74" t="s">
        <v>930</v>
      </c>
      <c r="E49" s="13" t="str">
        <f>HYPERLINK("https://youtu.be/4-mUutrA1UM","channel 1")</f>
        <v>channel 1</v>
      </c>
    </row>
    <row r="50">
      <c r="B50" s="72" t="s">
        <v>1154</v>
      </c>
      <c r="C50" s="73" t="s">
        <v>156</v>
      </c>
      <c r="D50" s="74" t="s">
        <v>1560</v>
      </c>
      <c r="E50" s="66" t="str">
        <f>HYPERLINK("https://youtu.be/E6hiLAkDR3k","channel 2")</f>
        <v>channel 2</v>
      </c>
    </row>
    <row r="51">
      <c r="B51" s="72" t="s">
        <v>1562</v>
      </c>
      <c r="C51" s="73" t="s">
        <v>180</v>
      </c>
      <c r="D51" s="74" t="s">
        <v>1561</v>
      </c>
      <c r="E51" s="13" t="str">
        <f>HYPERLINK("https://youtu.be/2izYSr74nec","channel 1")</f>
        <v>channel 1</v>
      </c>
    </row>
    <row r="52">
      <c r="B52" s="72" t="s">
        <v>1154</v>
      </c>
      <c r="C52" s="73" t="s">
        <v>598</v>
      </c>
      <c r="D52" s="74" t="s">
        <v>930</v>
      </c>
      <c r="E52" s="66" t="str">
        <f>HYPERLINK("https://youtu.be/An9U5kAlQ_o","channel 2")</f>
        <v>channel 2</v>
      </c>
    </row>
    <row r="53">
      <c r="B53" s="72" t="s">
        <v>1562</v>
      </c>
      <c r="C53" s="73" t="s">
        <v>30</v>
      </c>
      <c r="D53" s="74" t="s">
        <v>1560</v>
      </c>
      <c r="E53" s="13" t="str">
        <f>HYPERLINK("https://youtu.be/1imX8l7J2AU","channel 1")</f>
        <v>channel 1</v>
      </c>
    </row>
    <row r="54">
      <c r="B54" s="72" t="s">
        <v>1561</v>
      </c>
      <c r="C54" s="73" t="s">
        <v>353</v>
      </c>
      <c r="D54" s="74" t="s">
        <v>930</v>
      </c>
      <c r="E54" s="66" t="str">
        <f>HYPERLINK("https://youtu.be/OYuFHkn5dJ4","channel 2")</f>
        <v>channel 2</v>
      </c>
    </row>
    <row r="55">
      <c r="B55" s="72" t="s">
        <v>1562</v>
      </c>
      <c r="C55" s="73" t="s">
        <v>46</v>
      </c>
      <c r="D55" s="74" t="s">
        <v>1154</v>
      </c>
      <c r="E55" s="13" t="str">
        <f>HYPERLINK("https://youtu.be/EPorio8-2bM","channel 1")</f>
        <v>channel 1</v>
      </c>
    </row>
    <row r="56">
      <c r="B56" s="72" t="s">
        <v>1561</v>
      </c>
      <c r="C56" s="73" t="s">
        <v>104</v>
      </c>
      <c r="D56" s="74" t="s">
        <v>1560</v>
      </c>
      <c r="E56" s="66" t="str">
        <f>HYPERLINK("https://youtu.be/sMhmRhSpq6o","channel 2")</f>
        <v>channel 2</v>
      </c>
    </row>
    <row r="57">
      <c r="B57" s="72" t="s">
        <v>1560</v>
      </c>
      <c r="C57" s="73" t="s">
        <v>74</v>
      </c>
      <c r="D57" s="74" t="s">
        <v>930</v>
      </c>
      <c r="E57" s="13" t="str">
        <f>HYPERLINK("https://youtu.be/xHZR7KY8DpY","channel 1")</f>
        <v>channel 1</v>
      </c>
    </row>
    <row r="58">
      <c r="B58" s="72" t="s">
        <v>1561</v>
      </c>
      <c r="C58" s="73" t="s">
        <v>46</v>
      </c>
      <c r="D58" s="74" t="s">
        <v>1154</v>
      </c>
      <c r="E58" s="66" t="str">
        <f>HYPERLINK("https://youtu.be/gCnZ6374Byc","channel 2")</f>
        <v>channel 2</v>
      </c>
    </row>
    <row r="59">
      <c r="B59" s="72" t="s">
        <v>930</v>
      </c>
      <c r="C59" s="73" t="s">
        <v>46</v>
      </c>
      <c r="D59" s="74" t="s">
        <v>1562</v>
      </c>
      <c r="E59" s="13" t="str">
        <f>HYPERLINK("https://youtu.be/9wjbSMj7kRI","channel 1")</f>
        <v>channel 1</v>
      </c>
    </row>
    <row r="60">
      <c r="B60" s="72" t="s">
        <v>1560</v>
      </c>
      <c r="C60" s="73" t="s">
        <v>61</v>
      </c>
      <c r="D60" s="74" t="s">
        <v>1154</v>
      </c>
      <c r="E60" s="66" t="str">
        <f>HYPERLINK("https://youtu.be/hArV-ztOeTs","channel 2")</f>
        <v>channel 2</v>
      </c>
    </row>
    <row r="61">
      <c r="B61" s="72" t="s">
        <v>1561</v>
      </c>
      <c r="C61" s="73" t="s">
        <v>191</v>
      </c>
      <c r="D61" s="74" t="s">
        <v>1562</v>
      </c>
      <c r="E61" s="13" t="str">
        <f>HYPERLINK("https://youtu.be/UiMno7STs_c","channel 1")</f>
        <v>channel 1</v>
      </c>
    </row>
    <row r="62">
      <c r="B62" s="72" t="s">
        <v>930</v>
      </c>
      <c r="C62" s="73" t="s">
        <v>106</v>
      </c>
      <c r="D62" s="74" t="s">
        <v>1154</v>
      </c>
      <c r="E62" s="66" t="str">
        <f>HYPERLINK("https://youtu.be/664zp9-uAts","channel 2")</f>
        <v>channel 2</v>
      </c>
    </row>
    <row r="63">
      <c r="B63" s="72" t="s">
        <v>1560</v>
      </c>
      <c r="C63" s="73" t="s">
        <v>10</v>
      </c>
      <c r="D63" s="74" t="s">
        <v>1562</v>
      </c>
      <c r="E63" s="13" t="str">
        <f>HYPERLINK("https://youtu.be/Hxu6UrptqGw","channel 1")</f>
        <v>channel 1</v>
      </c>
    </row>
    <row r="64">
      <c r="B64" s="72" t="s">
        <v>930</v>
      </c>
      <c r="C64" s="73" t="s">
        <v>1564</v>
      </c>
      <c r="D64" s="74" t="s">
        <v>1561</v>
      </c>
      <c r="E64" s="66" t="str">
        <f>HYPERLINK("https://youtu.be/mpJkGeY8oGg","channel 2")</f>
        <v>channel 2</v>
      </c>
    </row>
    <row r="65">
      <c r="B65" s="72" t="s">
        <v>1154</v>
      </c>
      <c r="C65" s="73" t="s">
        <v>34</v>
      </c>
      <c r="D65" s="74" t="s">
        <v>1562</v>
      </c>
      <c r="E65" s="13" t="str">
        <f>HYPERLINK("https://youtu.be/feR__6U-pZ8","channel 1")</f>
        <v>channel 1</v>
      </c>
    </row>
    <row r="66">
      <c r="B66" s="72" t="s">
        <v>1560</v>
      </c>
      <c r="C66" s="73" t="s">
        <v>141</v>
      </c>
      <c r="D66" s="74" t="s">
        <v>1561</v>
      </c>
      <c r="E66" s="66" t="str">
        <f>HYPERLINK("https://youtu.be/js-EjhsVlns","channel 2")</f>
        <v>channel 2</v>
      </c>
    </row>
    <row r="67">
      <c r="B67" s="2" t="s">
        <v>240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1565</v>
      </c>
      <c r="C69" s="73" t="s">
        <v>97</v>
      </c>
      <c r="D69" s="71" t="s">
        <v>1566</v>
      </c>
      <c r="E69" s="13" t="str">
        <f>HYPERLINK("https://youtu.be/cL6M3jOcZXM","channel 1")</f>
        <v>channel 1</v>
      </c>
    </row>
    <row r="70">
      <c r="B70" s="72" t="s">
        <v>1339</v>
      </c>
      <c r="C70" s="73" t="s">
        <v>297</v>
      </c>
      <c r="D70" s="74" t="s">
        <v>1568</v>
      </c>
      <c r="E70" s="66" t="str">
        <f>HYPERLINK("https://youtu.be/j7vSxtIfBgo","channel 2")</f>
        <v>channel 2</v>
      </c>
    </row>
    <row r="71">
      <c r="B71" s="72" t="s">
        <v>1569</v>
      </c>
      <c r="C71" s="73" t="s">
        <v>145</v>
      </c>
      <c r="D71" s="74" t="s">
        <v>1565</v>
      </c>
      <c r="E71" s="23" t="s">
        <v>26</v>
      </c>
    </row>
    <row r="72">
      <c r="B72" s="72" t="s">
        <v>1339</v>
      </c>
      <c r="C72" s="73" t="s">
        <v>569</v>
      </c>
      <c r="D72" s="74" t="s">
        <v>1566</v>
      </c>
      <c r="E72" s="66" t="str">
        <f>HYPERLINK("https://youtu.be/r_6r2_BsQkI","channel 2")</f>
        <v>channel 2</v>
      </c>
    </row>
    <row r="73">
      <c r="B73" s="72" t="s">
        <v>1569</v>
      </c>
      <c r="C73" s="73" t="s">
        <v>113</v>
      </c>
      <c r="D73" s="74" t="s">
        <v>1568</v>
      </c>
      <c r="E73" s="13" t="str">
        <f>HYPERLINK("https://youtu.be/Y-8fpDAotOI","channel 1")</f>
        <v>channel 1</v>
      </c>
    </row>
    <row r="74">
      <c r="B74" s="72" t="s">
        <v>1339</v>
      </c>
      <c r="C74" s="73" t="s">
        <v>84</v>
      </c>
      <c r="D74" s="74" t="s">
        <v>1565</v>
      </c>
      <c r="E74" s="66" t="str">
        <f>HYPERLINK("https://youtu.be/4pjVw8PXtCU","channel 2")</f>
        <v>channel 2</v>
      </c>
    </row>
    <row r="75">
      <c r="B75" s="72" t="s">
        <v>1569</v>
      </c>
      <c r="C75" s="73" t="s">
        <v>42</v>
      </c>
      <c r="D75" s="74" t="s">
        <v>1566</v>
      </c>
      <c r="E75" s="13" t="str">
        <f>HYPERLINK("https://youtu.be/tA7bFD2edxw","channel 1")</f>
        <v>channel 1</v>
      </c>
    </row>
    <row r="76">
      <c r="B76" s="72" t="s">
        <v>1568</v>
      </c>
      <c r="C76" s="73" t="s">
        <v>36</v>
      </c>
      <c r="D76" s="74" t="s">
        <v>1565</v>
      </c>
      <c r="E76" s="66" t="str">
        <f>HYPERLINK("https://youtu.be/sYpCZ5xqOFY","channel 2")</f>
        <v>channel 2</v>
      </c>
    </row>
    <row r="77">
      <c r="B77" s="72" t="s">
        <v>1569</v>
      </c>
      <c r="C77" s="73" t="s">
        <v>213</v>
      </c>
      <c r="D77" s="74" t="s">
        <v>1339</v>
      </c>
      <c r="E77" s="13" t="str">
        <f>HYPERLINK("https://youtu.be/0Qn79qv2WwE","channel 1")</f>
        <v>channel 1</v>
      </c>
    </row>
    <row r="78">
      <c r="B78" s="72" t="s">
        <v>1568</v>
      </c>
      <c r="C78" s="73" t="s">
        <v>145</v>
      </c>
      <c r="D78" s="74" t="s">
        <v>1566</v>
      </c>
      <c r="E78" s="66" t="str">
        <f>HYPERLINK("https://youtu.be/Ay5p3sch9AA","channel 2")</f>
        <v>channel 2</v>
      </c>
    </row>
    <row r="79">
      <c r="B79" s="72" t="s">
        <v>1566</v>
      </c>
      <c r="C79" s="73" t="s">
        <v>278</v>
      </c>
      <c r="D79" s="74" t="s">
        <v>1565</v>
      </c>
      <c r="E79" s="13" t="str">
        <f>HYPERLINK("https://youtu.be/ps0IrREvQfQ","channel 1")</f>
        <v>channel 1</v>
      </c>
    </row>
    <row r="80">
      <c r="B80" s="72" t="s">
        <v>1568</v>
      </c>
      <c r="C80" s="73" t="s">
        <v>45</v>
      </c>
      <c r="D80" s="74" t="s">
        <v>1339</v>
      </c>
      <c r="E80" s="66" t="str">
        <f>HYPERLINK("https://youtu.be/lYCNuYf3r_g","channel 2")</f>
        <v>channel 2</v>
      </c>
    </row>
    <row r="81">
      <c r="B81" s="72" t="s">
        <v>1565</v>
      </c>
      <c r="C81" s="73" t="s">
        <v>34</v>
      </c>
      <c r="D81" s="74" t="s">
        <v>1569</v>
      </c>
      <c r="E81" s="13" t="str">
        <f>HYPERLINK("https://youtu.be/X5JVpHfPvaM","channel 1")</f>
        <v>channel 1</v>
      </c>
    </row>
    <row r="82">
      <c r="B82" s="72" t="s">
        <v>1566</v>
      </c>
      <c r="C82" s="73" t="s">
        <v>213</v>
      </c>
      <c r="D82" s="74" t="s">
        <v>1339</v>
      </c>
      <c r="E82" s="66" t="str">
        <f>HYPERLINK("https://youtu.be/_O2KkHX0c58","channel 2")</f>
        <v>channel 2</v>
      </c>
    </row>
    <row r="83">
      <c r="B83" s="72" t="s">
        <v>1568</v>
      </c>
      <c r="C83" s="73" t="s">
        <v>350</v>
      </c>
      <c r="D83" s="74" t="s">
        <v>1569</v>
      </c>
      <c r="E83" s="13" t="str">
        <f>HYPERLINK("https://youtu.be/v5fFvgFEliY","channel 1")</f>
        <v>channel 1</v>
      </c>
    </row>
    <row r="84">
      <c r="B84" s="72" t="s">
        <v>1565</v>
      </c>
      <c r="C84" s="73" t="s">
        <v>30</v>
      </c>
      <c r="D84" s="74" t="s">
        <v>1339</v>
      </c>
      <c r="E84" s="66" t="str">
        <f>HYPERLINK("https://youtu.be/O8yaxaRetj4","channel 2")</f>
        <v>channel 2</v>
      </c>
    </row>
    <row r="85">
      <c r="B85" s="72" t="s">
        <v>1566</v>
      </c>
      <c r="C85" s="73" t="s">
        <v>278</v>
      </c>
      <c r="D85" s="74" t="s">
        <v>1569</v>
      </c>
      <c r="E85" s="13" t="str">
        <f>HYPERLINK("https://youtu.be/xn1FcXWnKIE","channel 1")</f>
        <v>channel 1</v>
      </c>
    </row>
    <row r="86">
      <c r="B86" s="72" t="s">
        <v>1565</v>
      </c>
      <c r="C86" s="73" t="s">
        <v>332</v>
      </c>
      <c r="D86" s="74" t="s">
        <v>1568</v>
      </c>
      <c r="E86" s="66" t="str">
        <f>HYPERLINK("https://youtu.be/EWtlGhuiPnQ","channel 2")</f>
        <v>channel 2</v>
      </c>
    </row>
    <row r="87">
      <c r="B87" s="72" t="s">
        <v>1339</v>
      </c>
      <c r="C87" s="73" t="s">
        <v>216</v>
      </c>
      <c r="D87" s="74" t="s">
        <v>1569</v>
      </c>
      <c r="E87" s="13" t="str">
        <f>HYPERLINK("https://youtu.be/Rq52ptcZ6L8","channel 1")</f>
        <v>channel 1</v>
      </c>
    </row>
    <row r="88">
      <c r="B88" s="72" t="s">
        <v>1566</v>
      </c>
      <c r="C88" s="73" t="s">
        <v>214</v>
      </c>
      <c r="D88" s="74" t="s">
        <v>1568</v>
      </c>
      <c r="E88" s="66" t="str">
        <f>HYPERLINK("https://youtu.be/WNbSwPxOuiU","channel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299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873</v>
      </c>
      <c r="C3" s="70" t="s">
        <v>477</v>
      </c>
      <c r="D3" s="71" t="s">
        <v>1558</v>
      </c>
      <c r="E3" s="13" t="str">
        <f>HYPERLINK("https://youtu.be/2STMj0UBzUw","channel 1")</f>
        <v>channel 1</v>
      </c>
    </row>
    <row r="4">
      <c r="B4" s="72" t="s">
        <v>1559</v>
      </c>
      <c r="C4" s="73" t="s">
        <v>34</v>
      </c>
      <c r="D4" s="74" t="s">
        <v>968</v>
      </c>
      <c r="E4" s="66" t="str">
        <f>HYPERLINK("https://youtu.be/HTXnSRdmFUQ","channel 2")</f>
        <v>channel 2</v>
      </c>
    </row>
    <row r="5">
      <c r="B5" s="72" t="s">
        <v>587</v>
      </c>
      <c r="C5" s="73" t="s">
        <v>34</v>
      </c>
      <c r="D5" s="74" t="s">
        <v>873</v>
      </c>
      <c r="E5" s="13" t="str">
        <f>HYPERLINK("https://youtu.be/RiUdV0xo47s","channel 1")</f>
        <v>channel 1</v>
      </c>
    </row>
    <row r="6">
      <c r="B6" s="72" t="s">
        <v>1559</v>
      </c>
      <c r="C6" s="73" t="s">
        <v>47</v>
      </c>
      <c r="D6" s="74" t="s">
        <v>1558</v>
      </c>
      <c r="E6" s="66" t="str">
        <f>HYPERLINK("https://youtu.be/i_Ta-j1RNes","channel 2")</f>
        <v>channel 2</v>
      </c>
    </row>
    <row r="7">
      <c r="B7" s="72" t="s">
        <v>587</v>
      </c>
      <c r="C7" s="70" t="s">
        <v>93</v>
      </c>
      <c r="D7" s="74" t="s">
        <v>968</v>
      </c>
      <c r="E7" s="13" t="str">
        <f>HYPERLINK("https://youtu.be/cMfm_vF5OIQ","channel 1")</f>
        <v>channel 1</v>
      </c>
    </row>
    <row r="8">
      <c r="B8" s="72" t="s">
        <v>1559</v>
      </c>
      <c r="C8" s="73" t="s">
        <v>24</v>
      </c>
      <c r="D8" s="74" t="s">
        <v>873</v>
      </c>
      <c r="E8" s="66" t="str">
        <f>HYPERLINK("https://youtu.be/Pm_C2aoTF5c","channel 2")</f>
        <v>channel 2</v>
      </c>
    </row>
    <row r="9">
      <c r="B9" s="72" t="s">
        <v>587</v>
      </c>
      <c r="C9" s="73" t="s">
        <v>1525</v>
      </c>
      <c r="D9" s="74" t="s">
        <v>1558</v>
      </c>
      <c r="E9" s="13" t="str">
        <f>HYPERLINK("https://youtu.be/Uduiof0drPg","channel 1")</f>
        <v>channel 1</v>
      </c>
    </row>
    <row r="10">
      <c r="B10" s="72" t="s">
        <v>968</v>
      </c>
      <c r="C10" s="73" t="s">
        <v>97</v>
      </c>
      <c r="D10" s="74" t="s">
        <v>873</v>
      </c>
      <c r="E10" s="66" t="str">
        <f>HYPERLINK("https://youtu.be/cTm2diUYRlk","channel 2")</f>
        <v>channel 2</v>
      </c>
    </row>
    <row r="11">
      <c r="B11" s="72" t="s">
        <v>587</v>
      </c>
      <c r="C11" s="70" t="s">
        <v>675</v>
      </c>
      <c r="D11" s="74" t="s">
        <v>1559</v>
      </c>
      <c r="E11" s="13" t="str">
        <f>HYPERLINK("https://youtu.be/YhZLlEZg2F8","channel 1")</f>
        <v>channel 1</v>
      </c>
    </row>
    <row r="12">
      <c r="B12" s="72" t="s">
        <v>968</v>
      </c>
      <c r="C12" s="73" t="s">
        <v>35</v>
      </c>
      <c r="D12" s="74" t="s">
        <v>1558</v>
      </c>
      <c r="E12" s="66" t="str">
        <f>HYPERLINK("https://youtu.be/0sMdn_rlz8A","channel 2")</f>
        <v>channel 2</v>
      </c>
    </row>
    <row r="13">
      <c r="B13" s="72" t="s">
        <v>1558</v>
      </c>
      <c r="C13" s="73" t="s">
        <v>10</v>
      </c>
      <c r="D13" s="74" t="s">
        <v>873</v>
      </c>
      <c r="E13" s="13" t="str">
        <f>HYPERLINK("https://youtu.be/vcSaCxl_SVg","channel 1")</f>
        <v>channel 1</v>
      </c>
    </row>
    <row r="14">
      <c r="B14" s="72" t="s">
        <v>968</v>
      </c>
      <c r="C14" s="73" t="s">
        <v>104</v>
      </c>
      <c r="D14" s="74" t="s">
        <v>1559</v>
      </c>
      <c r="E14" s="66" t="str">
        <f>HYPERLINK("https://youtu.be/TRSMK-pp8VA","channel 2")</f>
        <v>channel 2</v>
      </c>
    </row>
    <row r="15">
      <c r="B15" s="72" t="s">
        <v>873</v>
      </c>
      <c r="C15" s="70" t="s">
        <v>18</v>
      </c>
      <c r="D15" s="74" t="s">
        <v>587</v>
      </c>
      <c r="E15" s="13" t="str">
        <f>HYPERLINK("https://youtu.be/QraBId49WBc","channel 1")</f>
        <v>channel 1</v>
      </c>
    </row>
    <row r="16">
      <c r="B16" s="72" t="s">
        <v>1558</v>
      </c>
      <c r="C16" s="73" t="s">
        <v>1563</v>
      </c>
      <c r="D16" s="74" t="s">
        <v>1559</v>
      </c>
      <c r="E16" s="66" t="str">
        <f>HYPERLINK("https://youtu.be/0Cufbf2-QzQ","channel 2")</f>
        <v>channel 2</v>
      </c>
    </row>
    <row r="17">
      <c r="B17" s="72" t="s">
        <v>968</v>
      </c>
      <c r="C17" s="73" t="s">
        <v>84</v>
      </c>
      <c r="D17" s="74" t="s">
        <v>587</v>
      </c>
      <c r="E17" s="13" t="str">
        <f>HYPERLINK("https://youtu.be/_ukPgFq-RjI","channel 1")</f>
        <v>channel 1</v>
      </c>
    </row>
    <row r="18">
      <c r="B18" s="72" t="s">
        <v>873</v>
      </c>
      <c r="C18" s="73" t="s">
        <v>145</v>
      </c>
      <c r="D18" s="74" t="s">
        <v>1559</v>
      </c>
      <c r="E18" s="66" t="str">
        <f>HYPERLINK("https://youtu.be/0NvRB9JZwlI","channel 2")</f>
        <v>channel 2</v>
      </c>
    </row>
    <row r="19">
      <c r="B19" s="72" t="s">
        <v>1558</v>
      </c>
      <c r="C19" s="70" t="s">
        <v>47</v>
      </c>
      <c r="D19" s="74" t="s">
        <v>587</v>
      </c>
      <c r="E19" s="13" t="str">
        <f>HYPERLINK("https://youtu.be/J6_7FNK-dRc","channel 1")</f>
        <v>channel 1</v>
      </c>
    </row>
    <row r="20">
      <c r="B20" s="72" t="s">
        <v>873</v>
      </c>
      <c r="C20" s="73" t="s">
        <v>97</v>
      </c>
      <c r="D20" s="74" t="s">
        <v>968</v>
      </c>
      <c r="E20" s="66" t="str">
        <f>HYPERLINK("https://youtu.be/7QI8cbWM-Lg","channel 2")</f>
        <v>channel 2</v>
      </c>
    </row>
    <row r="21">
      <c r="B21" s="72" t="s">
        <v>1559</v>
      </c>
      <c r="C21" s="73" t="s">
        <v>46</v>
      </c>
      <c r="D21" s="74" t="s">
        <v>587</v>
      </c>
      <c r="E21" s="13" t="str">
        <f>HYPERLINK("https://youtu.be/gvV4buFnTc8","channel 1")</f>
        <v>channel 1</v>
      </c>
    </row>
    <row r="22">
      <c r="B22" s="72" t="s">
        <v>1558</v>
      </c>
      <c r="C22" s="73" t="s">
        <v>59</v>
      </c>
      <c r="D22" s="74" t="s">
        <v>968</v>
      </c>
      <c r="E22" s="66" t="str">
        <f>HYPERLINK("https://youtu.be/8VahRYZ4W18","channel 2")</f>
        <v>channel 2</v>
      </c>
    </row>
    <row r="23">
      <c r="B23" s="2" t="s">
        <v>41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1466</v>
      </c>
      <c r="C25" s="73" t="s">
        <v>522</v>
      </c>
      <c r="D25" s="71" t="s">
        <v>584</v>
      </c>
      <c r="E25" s="13" t="str">
        <f>HYPERLINK("https://youtu.be/XiC947VQeC8","channel 1")</f>
        <v>channel 1</v>
      </c>
    </row>
    <row r="26">
      <c r="B26" s="72" t="s">
        <v>1567</v>
      </c>
      <c r="C26" s="73" t="s">
        <v>32</v>
      </c>
      <c r="D26" s="74" t="s">
        <v>706</v>
      </c>
      <c r="E26" s="66" t="str">
        <f>HYPERLINK("https://youtu.be/dRrZ7fRHUx4","channel 2")</f>
        <v>channel 2</v>
      </c>
    </row>
    <row r="27">
      <c r="B27" s="72" t="s">
        <v>83</v>
      </c>
      <c r="C27" s="70" t="s">
        <v>871</v>
      </c>
      <c r="D27" s="74" t="s">
        <v>1466</v>
      </c>
      <c r="E27" s="13" t="str">
        <f>HYPERLINK("https://youtu.be/60clxlZOyxU","channel 1")</f>
        <v>channel 1</v>
      </c>
    </row>
    <row r="28">
      <c r="B28" s="72" t="s">
        <v>1567</v>
      </c>
      <c r="C28" s="73" t="s">
        <v>759</v>
      </c>
      <c r="D28" s="74" t="s">
        <v>584</v>
      </c>
      <c r="E28" s="66" t="str">
        <f>HYPERLINK("https://youtu.be/PVQ5Seldydg","channel 2")</f>
        <v>channel 2</v>
      </c>
    </row>
    <row r="29">
      <c r="B29" s="72" t="s">
        <v>83</v>
      </c>
      <c r="C29" s="73" t="s">
        <v>145</v>
      </c>
      <c r="D29" s="74" t="s">
        <v>706</v>
      </c>
      <c r="E29" s="13" t="str">
        <f>HYPERLINK("https://youtu.be/RFWS8XMaf9E","channel 1")</f>
        <v>channel 1</v>
      </c>
    </row>
    <row r="30">
      <c r="B30" s="72" t="s">
        <v>1567</v>
      </c>
      <c r="C30" s="73" t="s">
        <v>117</v>
      </c>
      <c r="D30" s="74" t="s">
        <v>1466</v>
      </c>
      <c r="E30" s="66" t="str">
        <f>HYPERLINK("https://youtu.be/M7w8Mt1LGdw","channel 2")</f>
        <v>channel 2</v>
      </c>
    </row>
    <row r="31">
      <c r="B31" s="72" t="s">
        <v>83</v>
      </c>
      <c r="C31" s="73" t="s">
        <v>85</v>
      </c>
      <c r="D31" s="74" t="s">
        <v>584</v>
      </c>
      <c r="E31" s="13" t="str">
        <f>HYPERLINK("https://youtu.be/7iI7dM9iF9k","channel 1")</f>
        <v>channel 1</v>
      </c>
    </row>
    <row r="32">
      <c r="B32" s="72" t="s">
        <v>706</v>
      </c>
      <c r="C32" s="73" t="s">
        <v>237</v>
      </c>
      <c r="D32" s="74" t="s">
        <v>1466</v>
      </c>
      <c r="E32" s="66" t="str">
        <f>HYPERLINK("https://youtu.be/AGaO5bWAJPg","channel 2")</f>
        <v>channel 2</v>
      </c>
    </row>
    <row r="33">
      <c r="B33" s="72" t="s">
        <v>83</v>
      </c>
      <c r="C33" s="70" t="s">
        <v>38</v>
      </c>
      <c r="D33" s="74" t="s">
        <v>1567</v>
      </c>
      <c r="E33" s="13" t="str">
        <f>HYPERLINK("https://youtu.be/sQNZ6KF-PSg","channel 1")</f>
        <v>channel 1</v>
      </c>
    </row>
    <row r="34">
      <c r="B34" s="72" t="s">
        <v>706</v>
      </c>
      <c r="C34" s="73" t="s">
        <v>461</v>
      </c>
      <c r="D34" s="74" t="s">
        <v>584</v>
      </c>
      <c r="E34" s="66" t="str">
        <f>HYPERLINK("https://youtu.be/RwpfDT82QHg","channel 2")</f>
        <v>channel 2</v>
      </c>
    </row>
    <row r="35">
      <c r="B35" s="72" t="s">
        <v>584</v>
      </c>
      <c r="C35" s="73" t="s">
        <v>124</v>
      </c>
      <c r="D35" s="74" t="s">
        <v>1466</v>
      </c>
      <c r="E35" s="13" t="str">
        <f>HYPERLINK("https://youtu.be/8J5Rch9d4Vc","channel 1")</f>
        <v>channel 1</v>
      </c>
    </row>
    <row r="36">
      <c r="B36" s="72" t="s">
        <v>706</v>
      </c>
      <c r="C36" s="73" t="s">
        <v>160</v>
      </c>
      <c r="D36" s="74" t="s">
        <v>1567</v>
      </c>
      <c r="E36" s="66" t="str">
        <f>HYPERLINK("https://youtu.be/FEPdYYq0qGA","channel 2")</f>
        <v>channel 2</v>
      </c>
    </row>
    <row r="37">
      <c r="B37" s="72" t="s">
        <v>1466</v>
      </c>
      <c r="C37" s="73" t="s">
        <v>296</v>
      </c>
      <c r="D37" s="74" t="s">
        <v>83</v>
      </c>
      <c r="E37" s="13" t="str">
        <f>HYPERLINK("https://youtu.be/lLWlbcEZ_bk","channel 1")</f>
        <v>channel 1</v>
      </c>
    </row>
    <row r="38">
      <c r="B38" s="72" t="s">
        <v>584</v>
      </c>
      <c r="C38" s="73" t="s">
        <v>34</v>
      </c>
      <c r="D38" s="74" t="s">
        <v>1567</v>
      </c>
      <c r="E38" s="66" t="str">
        <f>HYPERLINK("https://youtu.be/mTaLNvCKMRY","channel 2")</f>
        <v>channel 2</v>
      </c>
    </row>
    <row r="39">
      <c r="B39" s="72" t="s">
        <v>706</v>
      </c>
      <c r="C39" s="70" t="s">
        <v>74</v>
      </c>
      <c r="D39" s="74" t="s">
        <v>83</v>
      </c>
      <c r="E39" s="13" t="str">
        <f>HYPERLINK("https://youtu.be/GORUs1jNL_8","channel 1")</f>
        <v>channel 1</v>
      </c>
    </row>
    <row r="40">
      <c r="B40" s="72" t="s">
        <v>1466</v>
      </c>
      <c r="C40" s="73" t="s">
        <v>1463</v>
      </c>
      <c r="D40" s="74" t="s">
        <v>1567</v>
      </c>
      <c r="E40" s="66" t="str">
        <f>HYPERLINK("https://youtu.be/GWpLKoTc6Rs","channel 2")</f>
        <v>channel 2</v>
      </c>
    </row>
    <row r="41">
      <c r="B41" s="72" t="s">
        <v>584</v>
      </c>
      <c r="C41" s="73" t="s">
        <v>322</v>
      </c>
      <c r="D41" s="74" t="s">
        <v>83</v>
      </c>
      <c r="E41" s="13" t="str">
        <f>HYPERLINK("https://youtu.be/oNGmb5Z3VLg","channel 1")</f>
        <v>channel 1</v>
      </c>
    </row>
    <row r="42">
      <c r="B42" s="72" t="s">
        <v>1466</v>
      </c>
      <c r="C42" s="73" t="s">
        <v>97</v>
      </c>
      <c r="D42" s="74" t="s">
        <v>706</v>
      </c>
      <c r="E42" s="66" t="str">
        <f>HYPERLINK("https://youtu.be/a_T4TVAkDlQ","channel 2")</f>
        <v>channel 2</v>
      </c>
    </row>
    <row r="43">
      <c r="B43" s="72" t="s">
        <v>1567</v>
      </c>
      <c r="C43" s="73" t="s">
        <v>56</v>
      </c>
      <c r="D43" s="74" t="s">
        <v>83</v>
      </c>
      <c r="E43" s="13" t="str">
        <f>HYPERLINK("https://youtu.be/VlIGY-HT-ps","channel 1")</f>
        <v>channel 1</v>
      </c>
    </row>
    <row r="44">
      <c r="B44" s="72" t="s">
        <v>584</v>
      </c>
      <c r="C44" s="75" t="s">
        <v>93</v>
      </c>
      <c r="D44" s="74" t="s">
        <v>706</v>
      </c>
      <c r="E44" s="66" t="str">
        <f>HYPERLINK("https://youtu.be/R5YeO-gyI5A","channel 2")</f>
        <v>channel 2</v>
      </c>
    </row>
    <row r="45">
      <c r="B45" s="2" t="s">
        <v>546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1518</v>
      </c>
      <c r="C47" s="70" t="s">
        <v>49</v>
      </c>
      <c r="D47" s="71" t="s">
        <v>1570</v>
      </c>
      <c r="E47" s="13" t="str">
        <f>HYPERLINK("https://youtu.be/iEBVeWRwyXE","channel 1")</f>
        <v>channel 1</v>
      </c>
    </row>
    <row r="48">
      <c r="B48" s="72" t="s">
        <v>1571</v>
      </c>
      <c r="C48" s="73" t="s">
        <v>146</v>
      </c>
      <c r="D48" s="74" t="s">
        <v>1049</v>
      </c>
      <c r="E48" s="66" t="str">
        <f>HYPERLINK("https://youtu.be/rO_scIgmJbc","channel 2")</f>
        <v>channel 2</v>
      </c>
    </row>
    <row r="49">
      <c r="B49" s="72" t="s">
        <v>932</v>
      </c>
      <c r="C49" s="73" t="s">
        <v>145</v>
      </c>
      <c r="D49" s="74" t="s">
        <v>1518</v>
      </c>
      <c r="E49" s="13" t="str">
        <f>HYPERLINK("https://youtu.be/npFChTr5hjI","channel 1")</f>
        <v>channel 1</v>
      </c>
    </row>
    <row r="50">
      <c r="B50" s="72" t="s">
        <v>1571</v>
      </c>
      <c r="C50" s="73" t="s">
        <v>20</v>
      </c>
      <c r="D50" s="74" t="s">
        <v>1570</v>
      </c>
      <c r="E50" s="66" t="str">
        <f>HYPERLINK("https://youtu.be/hqZlRqGq8dI","channel 2")</f>
        <v>channel 2</v>
      </c>
    </row>
    <row r="51">
      <c r="B51" s="72" t="s">
        <v>932</v>
      </c>
      <c r="C51" s="73" t="s">
        <v>1572</v>
      </c>
      <c r="D51" s="74" t="s">
        <v>1049</v>
      </c>
      <c r="E51" s="13" t="str">
        <f>HYPERLINK("https://youtu.be/FajISG0A7iI","channel 1")</f>
        <v>channel 1</v>
      </c>
    </row>
    <row r="52">
      <c r="B52" s="72" t="s">
        <v>1571</v>
      </c>
      <c r="C52" s="73" t="s">
        <v>160</v>
      </c>
      <c r="D52" s="74" t="s">
        <v>1518</v>
      </c>
      <c r="E52" s="66" t="str">
        <f>HYPERLINK("https://youtu.be/QRjPBuIegNI","channel 2")</f>
        <v>channel 2</v>
      </c>
    </row>
    <row r="53">
      <c r="B53" s="72" t="s">
        <v>932</v>
      </c>
      <c r="C53" s="73" t="s">
        <v>74</v>
      </c>
      <c r="D53" s="74" t="s">
        <v>1570</v>
      </c>
      <c r="E53" s="13" t="str">
        <f>HYPERLINK("https://youtu.be/xN6o1haD1To","channel 1")</f>
        <v>channel 1</v>
      </c>
    </row>
    <row r="54">
      <c r="B54" s="72" t="s">
        <v>1049</v>
      </c>
      <c r="C54" s="73" t="s">
        <v>109</v>
      </c>
      <c r="D54" s="74" t="s">
        <v>1518</v>
      </c>
      <c r="E54" s="66" t="str">
        <f>HYPERLINK("https://youtu.be/ZxzBqYCmLMI","channel 2")</f>
        <v>channel 2</v>
      </c>
    </row>
    <row r="55">
      <c r="B55" s="72" t="s">
        <v>932</v>
      </c>
      <c r="C55" s="73" t="s">
        <v>74</v>
      </c>
      <c r="D55" s="74" t="s">
        <v>1571</v>
      </c>
      <c r="E55" s="13" t="str">
        <f>HYPERLINK("https://youtu.be/fzXHu5WFe0M","channel 1")</f>
        <v>channel 1</v>
      </c>
    </row>
    <row r="56">
      <c r="B56" s="72" t="s">
        <v>1049</v>
      </c>
      <c r="C56" s="73" t="s">
        <v>1573</v>
      </c>
      <c r="D56" s="74" t="s">
        <v>1570</v>
      </c>
      <c r="E56" s="66" t="str">
        <f>HYPERLINK("https://youtu.be/0_4wDVzrL-U","channel 2")</f>
        <v>channel 2</v>
      </c>
    </row>
    <row r="57">
      <c r="B57" s="72" t="s">
        <v>1570</v>
      </c>
      <c r="C57" s="73" t="s">
        <v>148</v>
      </c>
      <c r="D57" s="74" t="s">
        <v>1518</v>
      </c>
      <c r="E57" s="13" t="str">
        <f>HYPERLINK("https://youtu.be/viAlLIJ0GA4","channel 1")</f>
        <v>channel 1</v>
      </c>
    </row>
    <row r="58">
      <c r="B58" s="72" t="s">
        <v>1049</v>
      </c>
      <c r="C58" s="73" t="s">
        <v>347</v>
      </c>
      <c r="D58" s="74" t="s">
        <v>1571</v>
      </c>
      <c r="E58" s="66" t="str">
        <f>HYPERLINK("https://youtu.be/icG3oZf1Wb0","channel 2")</f>
        <v>channel 2</v>
      </c>
    </row>
    <row r="59">
      <c r="B59" s="72" t="s">
        <v>1518</v>
      </c>
      <c r="C59" s="75" t="s">
        <v>156</v>
      </c>
      <c r="D59" s="74" t="s">
        <v>932</v>
      </c>
      <c r="E59" s="13" t="str">
        <f>HYPERLINK("https://youtu.be/OPqW4jAtigY","channel 1")</f>
        <v>channel 1</v>
      </c>
    </row>
    <row r="60">
      <c r="B60" s="100" t="s">
        <v>1570</v>
      </c>
      <c r="C60" s="75" t="s">
        <v>109</v>
      </c>
      <c r="D60" s="74" t="s">
        <v>1571</v>
      </c>
      <c r="E60" s="66" t="str">
        <f>HYPERLINK("https://youtu.be/RMkjhKX94Rw","channel 2")</f>
        <v>channel 2</v>
      </c>
    </row>
    <row r="61">
      <c r="B61" s="72" t="s">
        <v>1049</v>
      </c>
      <c r="C61" s="75" t="s">
        <v>214</v>
      </c>
      <c r="D61" s="74" t="s">
        <v>932</v>
      </c>
      <c r="E61" s="13" t="str">
        <f>HYPERLINK("https://youtu.be/foqi4M1sa8I","channel 1")</f>
        <v>channel 1</v>
      </c>
    </row>
    <row r="62">
      <c r="B62" s="72" t="s">
        <v>1518</v>
      </c>
      <c r="C62" s="75" t="s">
        <v>821</v>
      </c>
      <c r="D62" s="74" t="s">
        <v>1571</v>
      </c>
      <c r="E62" s="66" t="str">
        <f>HYPERLINK("https://youtu.be/168A3EsCQSk","channel 2")</f>
        <v>channel 2</v>
      </c>
    </row>
    <row r="63">
      <c r="B63" s="72" t="s">
        <v>1570</v>
      </c>
      <c r="C63" s="75" t="s">
        <v>296</v>
      </c>
      <c r="D63" s="74" t="s">
        <v>932</v>
      </c>
      <c r="E63" s="13" t="str">
        <f>HYPERLINK("https://youtu.be/6MG2dVuojOc","channel 1")</f>
        <v>channel 1</v>
      </c>
    </row>
    <row r="64">
      <c r="B64" s="72" t="s">
        <v>1518</v>
      </c>
      <c r="C64" s="75" t="s">
        <v>74</v>
      </c>
      <c r="D64" s="74" t="s">
        <v>1049</v>
      </c>
      <c r="E64" s="66" t="str">
        <f>HYPERLINK("https://youtu.be/nOgQYDFmz5E","channel 2")</f>
        <v>channel 2</v>
      </c>
    </row>
    <row r="65">
      <c r="B65" s="72" t="s">
        <v>1571</v>
      </c>
      <c r="C65" s="75" t="s">
        <v>213</v>
      </c>
      <c r="D65" s="74" t="s">
        <v>932</v>
      </c>
      <c r="E65" s="13" t="str">
        <f>HYPERLINK("https://youtu.be/3h2IYN491CE","channel 1")</f>
        <v>channel 1</v>
      </c>
    </row>
    <row r="66">
      <c r="B66" s="72" t="s">
        <v>1570</v>
      </c>
      <c r="C66" s="75" t="s">
        <v>216</v>
      </c>
      <c r="D66" s="74" t="s">
        <v>1049</v>
      </c>
      <c r="E66" s="66" t="str">
        <f>HYPERLINK("https://youtu.be/Efxpntt9ufQ","channel 2")</f>
        <v>channel 2</v>
      </c>
    </row>
    <row r="67">
      <c r="B67" s="2" t="s">
        <v>134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1574</v>
      </c>
      <c r="C69" s="70" t="s">
        <v>237</v>
      </c>
      <c r="D69" s="71" t="s">
        <v>483</v>
      </c>
      <c r="E69" s="13" t="str">
        <f>HYPERLINK("https://youtu.be/UTeHeGYDr6M","channel 1")</f>
        <v>channel 1</v>
      </c>
    </row>
    <row r="70">
      <c r="B70" s="72" t="s">
        <v>1575</v>
      </c>
      <c r="C70" s="73" t="s">
        <v>31</v>
      </c>
      <c r="D70" s="74" t="s">
        <v>1576</v>
      </c>
      <c r="E70" s="66" t="str">
        <f>HYPERLINK("https://youtu.be/NoZOA5B_Sok","channel 2")</f>
        <v>channel 2</v>
      </c>
    </row>
    <row r="71">
      <c r="B71" s="72" t="s">
        <v>1526</v>
      </c>
      <c r="C71" s="73" t="s">
        <v>82</v>
      </c>
      <c r="D71" s="74" t="s">
        <v>1574</v>
      </c>
      <c r="E71" s="13" t="str">
        <f>HYPERLINK("https://youtu.be/x75F1YhVMxs","channel 1")</f>
        <v>channel 1</v>
      </c>
    </row>
    <row r="72">
      <c r="B72" s="72" t="s">
        <v>1575</v>
      </c>
      <c r="C72" s="73" t="s">
        <v>89</v>
      </c>
      <c r="D72" s="74" t="s">
        <v>483</v>
      </c>
      <c r="E72" s="66" t="str">
        <f>HYPERLINK("https://youtu.be/pl4UIgU8bU0","channel 2")</f>
        <v>channel 2</v>
      </c>
    </row>
    <row r="73">
      <c r="B73" s="72" t="s">
        <v>1526</v>
      </c>
      <c r="C73" s="73" t="s">
        <v>89</v>
      </c>
      <c r="D73" s="74" t="s">
        <v>1576</v>
      </c>
      <c r="E73" s="13" t="str">
        <f>HYPERLINK("https://youtu.be/UVVM5dnB35M","channel 1")</f>
        <v>channel 1</v>
      </c>
    </row>
    <row r="74">
      <c r="B74" s="72" t="s">
        <v>1575</v>
      </c>
      <c r="C74" s="73" t="s">
        <v>992</v>
      </c>
      <c r="D74" s="74" t="s">
        <v>1574</v>
      </c>
      <c r="E74" s="66" t="str">
        <f>HYPERLINK("https://youtu.be/XjhZzzRSjrU","channel 2")</f>
        <v>channel 2</v>
      </c>
    </row>
    <row r="75">
      <c r="B75" s="72" t="s">
        <v>1526</v>
      </c>
      <c r="C75" s="73" t="s">
        <v>297</v>
      </c>
      <c r="D75" s="74" t="s">
        <v>483</v>
      </c>
      <c r="E75" s="13" t="str">
        <f>HYPERLINK("https://youtu.be/2c539KryxGs","channel 1")</f>
        <v>channel 1</v>
      </c>
    </row>
    <row r="76">
      <c r="B76" s="72" t="s">
        <v>1576</v>
      </c>
      <c r="C76" s="73" t="s">
        <v>1577</v>
      </c>
      <c r="D76" s="74" t="s">
        <v>1574</v>
      </c>
      <c r="E76" s="66" t="str">
        <f>HYPERLINK("https://youtu.be/ufdIBynAeE4","channel 2")</f>
        <v>channel 2</v>
      </c>
    </row>
    <row r="77">
      <c r="B77" s="72" t="s">
        <v>1526</v>
      </c>
      <c r="C77" s="73" t="s">
        <v>1578</v>
      </c>
      <c r="D77" s="74" t="s">
        <v>1575</v>
      </c>
      <c r="E77" s="13" t="str">
        <f>HYPERLINK("https://youtu.be/wkcVMkEt11o","channel 1")</f>
        <v>channel 1</v>
      </c>
    </row>
    <row r="78">
      <c r="B78" s="72" t="s">
        <v>1576</v>
      </c>
      <c r="C78" s="73" t="s">
        <v>10</v>
      </c>
      <c r="D78" s="74" t="s">
        <v>483</v>
      </c>
      <c r="E78" s="66" t="str">
        <f>HYPERLINK("https://youtu.be/TqyzUFsclwM","channel 2")</f>
        <v>channel 2</v>
      </c>
    </row>
    <row r="79">
      <c r="B79" s="72" t="s">
        <v>483</v>
      </c>
      <c r="C79" s="73" t="s">
        <v>160</v>
      </c>
      <c r="D79" s="74" t="s">
        <v>1574</v>
      </c>
      <c r="E79" s="13" t="str">
        <f>HYPERLINK("https://youtu.be/J5bLjP4VV_U","channel 1")</f>
        <v>channel 1</v>
      </c>
    </row>
    <row r="80">
      <c r="B80" s="72" t="s">
        <v>1576</v>
      </c>
      <c r="C80" s="73" t="s">
        <v>88</v>
      </c>
      <c r="D80" s="74" t="s">
        <v>1575</v>
      </c>
      <c r="E80" s="66" t="str">
        <f>HYPERLINK("https://youtu.be/suHlPQC4xgg","channel 2")</f>
        <v>channel 2</v>
      </c>
    </row>
    <row r="81">
      <c r="B81" s="72" t="s">
        <v>1574</v>
      </c>
      <c r="C81" s="75" t="s">
        <v>18</v>
      </c>
      <c r="D81" s="74" t="s">
        <v>1526</v>
      </c>
      <c r="E81" s="13" t="str">
        <f>HYPERLINK("https://youtu.be/ceN-RwGjxkM","channel 1")</f>
        <v>channel 1</v>
      </c>
    </row>
    <row r="82">
      <c r="B82" s="100" t="s">
        <v>483</v>
      </c>
      <c r="C82" s="75" t="s">
        <v>232</v>
      </c>
      <c r="D82" s="74" t="s">
        <v>1575</v>
      </c>
      <c r="E82" s="66" t="str">
        <f>HYPERLINK("https://youtu.be/xJiN-2FJjBk","channel 2")</f>
        <v>channel 2</v>
      </c>
    </row>
    <row r="83">
      <c r="B83" s="72" t="s">
        <v>1576</v>
      </c>
      <c r="C83" s="75" t="s">
        <v>304</v>
      </c>
      <c r="D83" s="74" t="s">
        <v>1526</v>
      </c>
      <c r="E83" s="13" t="str">
        <f>HYPERLINK("https://youtu.be/0gQA-S-lK1E","channel 1")</f>
        <v>channel 1</v>
      </c>
    </row>
    <row r="84">
      <c r="B84" s="72" t="s">
        <v>1574</v>
      </c>
      <c r="C84" s="75" t="s">
        <v>89</v>
      </c>
      <c r="D84" s="74" t="s">
        <v>1575</v>
      </c>
      <c r="E84" s="66" t="str">
        <f>HYPERLINK("https://youtu.be/X6QyPDKm4NM","channel 2")</f>
        <v>channel 2</v>
      </c>
    </row>
    <row r="85">
      <c r="B85" s="72" t="s">
        <v>483</v>
      </c>
      <c r="C85" s="75" t="s">
        <v>339</v>
      </c>
      <c r="D85" s="74" t="s">
        <v>1526</v>
      </c>
      <c r="E85" s="13" t="str">
        <f>HYPERLINK("https://youtu.be/lRgrD4zWZ-A","channel 1")</f>
        <v>channel 1</v>
      </c>
    </row>
    <row r="86">
      <c r="B86" s="72" t="s">
        <v>1574</v>
      </c>
      <c r="C86" s="75" t="s">
        <v>141</v>
      </c>
      <c r="D86" s="74" t="s">
        <v>1576</v>
      </c>
      <c r="E86" s="66" t="str">
        <f>HYPERLINK("https://youtu.be/z0Ax118CjR0","channel 2")</f>
        <v>channel 2</v>
      </c>
    </row>
    <row r="87">
      <c r="B87" s="72" t="s">
        <v>1575</v>
      </c>
      <c r="C87" s="75" t="s">
        <v>675</v>
      </c>
      <c r="D87" s="74" t="s">
        <v>1526</v>
      </c>
      <c r="E87" s="13" t="str">
        <f>HYPERLINK("https://youtu.be/nyYN8YQItV4","channel 1")</f>
        <v>channel 1</v>
      </c>
    </row>
    <row r="88">
      <c r="B88" s="72" t="s">
        <v>483</v>
      </c>
      <c r="C88" s="75" t="s">
        <v>1463</v>
      </c>
      <c r="D88" s="74" t="s">
        <v>1576</v>
      </c>
      <c r="E88" s="66" t="str">
        <f>HYPERLINK("https://youtu.be/0oQl46RXuno","channel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115</v>
      </c>
      <c r="C3" s="70" t="s">
        <v>47</v>
      </c>
      <c r="D3" s="71" t="s">
        <v>1558</v>
      </c>
      <c r="E3" s="13" t="str">
        <f>HYPERLINK("https://youtu.be/NHd3PrvWlLc","channel 1")</f>
        <v>channel 1</v>
      </c>
    </row>
    <row r="4">
      <c r="B4" s="72" t="s">
        <v>1038</v>
      </c>
      <c r="C4" s="73" t="s">
        <v>357</v>
      </c>
      <c r="D4" s="74" t="s">
        <v>1443</v>
      </c>
      <c r="E4" s="66" t="str">
        <f>HYPERLINK("https://youtu.be/QWfy0F2I8aU","channel 2")</f>
        <v>channel 2</v>
      </c>
    </row>
    <row r="5">
      <c r="B5" s="72" t="s">
        <v>83</v>
      </c>
      <c r="C5" s="73" t="s">
        <v>104</v>
      </c>
      <c r="D5" s="74" t="s">
        <v>115</v>
      </c>
      <c r="E5" s="13" t="str">
        <f>HYPERLINK("https://youtu.be/3YEjhr3r_Zw","channel 1")</f>
        <v>channel 1</v>
      </c>
    </row>
    <row r="6">
      <c r="B6" s="72" t="s">
        <v>1038</v>
      </c>
      <c r="C6" s="73" t="s">
        <v>145</v>
      </c>
      <c r="D6" s="74" t="s">
        <v>1558</v>
      </c>
      <c r="E6" s="66" t="str">
        <f>HYPERLINK("https://youtu.be/BgIlv-A3jR4","channel 2")</f>
        <v>channel 2</v>
      </c>
    </row>
    <row r="7">
      <c r="B7" s="72" t="s">
        <v>83</v>
      </c>
      <c r="C7" s="70" t="s">
        <v>339</v>
      </c>
      <c r="D7" s="74" t="s">
        <v>1443</v>
      </c>
      <c r="E7" s="13" t="str">
        <f>HYPERLINK("https://youtu.be/c505RpkQaL0","channel 1")</f>
        <v>channel 1</v>
      </c>
    </row>
    <row r="8">
      <c r="B8" s="72" t="s">
        <v>1038</v>
      </c>
      <c r="C8" s="73" t="s">
        <v>47</v>
      </c>
      <c r="D8" s="74" t="s">
        <v>115</v>
      </c>
      <c r="E8" s="66" t="str">
        <f>HYPERLINK("https://youtu.be/DsGcZmbnkxg","channel 2")</f>
        <v>channel 2</v>
      </c>
    </row>
    <row r="9">
      <c r="B9" s="72" t="s">
        <v>83</v>
      </c>
      <c r="C9" s="73" t="s">
        <v>34</v>
      </c>
      <c r="D9" s="74" t="s">
        <v>1558</v>
      </c>
      <c r="E9" s="13" t="str">
        <f>HYPERLINK("https://youtu.be/iMwRW8KF8A8","channel 1")</f>
        <v>channel 1</v>
      </c>
    </row>
    <row r="10">
      <c r="B10" s="72" t="s">
        <v>1443</v>
      </c>
      <c r="C10" s="73" t="s">
        <v>311</v>
      </c>
      <c r="D10" s="74" t="s">
        <v>115</v>
      </c>
      <c r="E10" s="66" t="str">
        <f>HYPERLINK("https://youtu.be/Kl__ZnTu2c4","channel 2")</f>
        <v>channel 2</v>
      </c>
    </row>
    <row r="11">
      <c r="B11" s="72" t="s">
        <v>83</v>
      </c>
      <c r="C11" s="70" t="s">
        <v>111</v>
      </c>
      <c r="D11" s="74" t="s">
        <v>1038</v>
      </c>
      <c r="E11" s="13" t="str">
        <f>HYPERLINK("https://youtu.be/hCljfpleSuo","channel 1")</f>
        <v>channel 1</v>
      </c>
    </row>
    <row r="12">
      <c r="B12" s="72" t="s">
        <v>1443</v>
      </c>
      <c r="C12" s="73" t="s">
        <v>40</v>
      </c>
      <c r="D12" s="74" t="s">
        <v>1558</v>
      </c>
      <c r="E12" s="66" t="str">
        <f>HYPERLINK("https://youtu.be/qjorFQGTPBM","channel 2")</f>
        <v>channel 2</v>
      </c>
    </row>
    <row r="13">
      <c r="B13" s="72" t="s">
        <v>1558</v>
      </c>
      <c r="C13" s="73" t="s">
        <v>97</v>
      </c>
      <c r="D13" s="74" t="s">
        <v>115</v>
      </c>
      <c r="E13" s="13" t="str">
        <f>HYPERLINK("https://youtu.be/QW3Q972keNA","channel 1")</f>
        <v>channel 1</v>
      </c>
    </row>
    <row r="14">
      <c r="B14" s="72" t="s">
        <v>1443</v>
      </c>
      <c r="C14" s="73" t="s">
        <v>103</v>
      </c>
      <c r="D14" s="74" t="s">
        <v>1038</v>
      </c>
      <c r="E14" s="66" t="str">
        <f>HYPERLINK("https://youtu.be/xsJwl3dFKkE","channel 2")</f>
        <v>channel 2</v>
      </c>
    </row>
    <row r="15">
      <c r="B15" s="72" t="s">
        <v>115</v>
      </c>
      <c r="C15" s="70" t="s">
        <v>27</v>
      </c>
      <c r="D15" s="74" t="s">
        <v>83</v>
      </c>
      <c r="E15" s="13" t="str">
        <f>HYPERLINK("https://youtu.be/5BTB_hc5TuI","channel 1")</f>
        <v>channel 1</v>
      </c>
    </row>
    <row r="16">
      <c r="B16" s="72" t="s">
        <v>1558</v>
      </c>
      <c r="C16" s="73" t="s">
        <v>278</v>
      </c>
      <c r="D16" s="74" t="s">
        <v>1038</v>
      </c>
      <c r="E16" s="66" t="str">
        <f>HYPERLINK("https://youtu.be/k9W_trs-Fsw","channel 2")</f>
        <v>channel 2</v>
      </c>
    </row>
    <row r="17">
      <c r="B17" s="72" t="s">
        <v>1443</v>
      </c>
      <c r="C17" s="73" t="s">
        <v>111</v>
      </c>
      <c r="D17" s="74" t="s">
        <v>83</v>
      </c>
      <c r="E17" s="13" t="str">
        <f>HYPERLINK("https://youtu.be/9inxhEm8xYM","channel 1")</f>
        <v>channel 1</v>
      </c>
    </row>
    <row r="18">
      <c r="B18" s="72" t="s">
        <v>115</v>
      </c>
      <c r="C18" s="73" t="s">
        <v>10</v>
      </c>
      <c r="D18" s="74" t="s">
        <v>1038</v>
      </c>
      <c r="E18" s="66" t="str">
        <f>HYPERLINK("https://youtu.be/wfzs3SxqyYI","channel 2")</f>
        <v>channel 2</v>
      </c>
    </row>
    <row r="19">
      <c r="B19" s="72" t="s">
        <v>1558</v>
      </c>
      <c r="C19" s="70" t="s">
        <v>724</v>
      </c>
      <c r="D19" s="74" t="s">
        <v>83</v>
      </c>
      <c r="E19" s="13" t="str">
        <f>HYPERLINK("https://youtu.be/EPkF-s62N-o","channel 1")</f>
        <v>channel 1</v>
      </c>
    </row>
    <row r="20">
      <c r="B20" s="72" t="s">
        <v>115</v>
      </c>
      <c r="C20" s="73" t="s">
        <v>47</v>
      </c>
      <c r="D20" s="74" t="s">
        <v>1443</v>
      </c>
      <c r="E20" s="66" t="str">
        <f>HYPERLINK("https://youtu.be/Fa3CZu2dYYc","channel 2")</f>
        <v>channel 2</v>
      </c>
    </row>
    <row r="21">
      <c r="B21" s="72" t="s">
        <v>1038</v>
      </c>
      <c r="C21" s="73" t="s">
        <v>157</v>
      </c>
      <c r="D21" s="74" t="s">
        <v>83</v>
      </c>
      <c r="E21" s="13" t="str">
        <f>HYPERLINK("https://youtu.be/J903rYhT3qY","channel 1")</f>
        <v>channel 1</v>
      </c>
    </row>
    <row r="22">
      <c r="B22" s="72" t="s">
        <v>1558</v>
      </c>
      <c r="C22" s="73" t="s">
        <v>34</v>
      </c>
      <c r="D22" s="74" t="s">
        <v>1443</v>
      </c>
      <c r="E22" s="66" t="str">
        <f>HYPERLINK("https://youtu.be/KWzFLnOQSv0","channel 2")</f>
        <v>channel 2</v>
      </c>
    </row>
    <row r="23">
      <c r="B23" s="2" t="s">
        <v>329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1254</v>
      </c>
      <c r="C25" s="73" t="s">
        <v>168</v>
      </c>
      <c r="D25" s="71" t="s">
        <v>1560</v>
      </c>
      <c r="E25" s="13" t="str">
        <f>HYPERLINK("https://youtu.be/bIW60-4_5rc","channel 1")</f>
        <v>channel 1</v>
      </c>
    </row>
    <row r="26">
      <c r="B26" s="72" t="s">
        <v>663</v>
      </c>
      <c r="C26" s="73" t="s">
        <v>675</v>
      </c>
      <c r="D26" s="74" t="s">
        <v>1582</v>
      </c>
      <c r="E26" s="66" t="str">
        <f>HYPERLINK("https://youtu.be/keg6ktjH_ns","channel 2")</f>
        <v>channel 2</v>
      </c>
    </row>
    <row r="27">
      <c r="B27" s="72" t="s">
        <v>665</v>
      </c>
      <c r="C27" s="70" t="s">
        <v>110</v>
      </c>
      <c r="D27" s="74" t="s">
        <v>1254</v>
      </c>
      <c r="E27" s="13" t="str">
        <f>HYPERLINK("https://youtu.be/5e3ULGq-4TU","channel 1")</f>
        <v>channel 1</v>
      </c>
    </row>
    <row r="28">
      <c r="B28" s="72" t="s">
        <v>663</v>
      </c>
      <c r="C28" s="73" t="s">
        <v>47</v>
      </c>
      <c r="D28" s="74" t="s">
        <v>1560</v>
      </c>
      <c r="E28" s="66" t="str">
        <f>HYPERLINK("https://youtu.be/Tz9FwyM9XZ4","channel 2")</f>
        <v>channel 2</v>
      </c>
    </row>
    <row r="29">
      <c r="B29" s="72" t="s">
        <v>665</v>
      </c>
      <c r="C29" s="73" t="s">
        <v>223</v>
      </c>
      <c r="D29" s="74" t="s">
        <v>1582</v>
      </c>
      <c r="E29" s="13" t="str">
        <f>HYPERLINK("https://youtu.be/boXVpMUdUZ8","channel 1")</f>
        <v>channel 1</v>
      </c>
    </row>
    <row r="30">
      <c r="B30" s="72" t="s">
        <v>663</v>
      </c>
      <c r="C30" s="73" t="s">
        <v>393</v>
      </c>
      <c r="D30" s="74" t="s">
        <v>1254</v>
      </c>
      <c r="E30" s="66" t="str">
        <f>HYPERLINK("https://youtu.be/dmd20R51OQk","channel 2")</f>
        <v>channel 2</v>
      </c>
    </row>
    <row r="31">
      <c r="B31" s="72" t="s">
        <v>665</v>
      </c>
      <c r="C31" s="73" t="s">
        <v>117</v>
      </c>
      <c r="D31" s="74" t="s">
        <v>1560</v>
      </c>
      <c r="E31" s="13" t="str">
        <f>HYPERLINK("https://youtu.be/v9CEBEWaC6w","channel 1")</f>
        <v>channel 1</v>
      </c>
    </row>
    <row r="32">
      <c r="B32" s="72" t="s">
        <v>1582</v>
      </c>
      <c r="C32" s="73" t="s">
        <v>179</v>
      </c>
      <c r="D32" s="74" t="s">
        <v>1254</v>
      </c>
      <c r="E32" s="66" t="str">
        <f>HYPERLINK("https://youtu.be/0BjXMFm9YZ8","channel 2")</f>
        <v>channel 2</v>
      </c>
    </row>
    <row r="33">
      <c r="B33" s="72" t="s">
        <v>665</v>
      </c>
      <c r="C33" s="70" t="s">
        <v>1583</v>
      </c>
      <c r="D33" s="74" t="s">
        <v>663</v>
      </c>
      <c r="E33" s="13" t="str">
        <f>HYPERLINK("https://youtu.be/ugq62KpFb28","channel 1")</f>
        <v>channel 1</v>
      </c>
    </row>
    <row r="34">
      <c r="B34" s="72" t="s">
        <v>1582</v>
      </c>
      <c r="C34" s="73" t="s">
        <v>104</v>
      </c>
      <c r="D34" s="74" t="s">
        <v>1560</v>
      </c>
      <c r="E34" s="66" t="str">
        <f>HYPERLINK("https://youtu.be/C7AMG7ID6OQ","channel 2")</f>
        <v>channel 2</v>
      </c>
    </row>
    <row r="35">
      <c r="B35" s="72" t="s">
        <v>1560</v>
      </c>
      <c r="C35" s="73" t="s">
        <v>573</v>
      </c>
      <c r="D35" s="74" t="s">
        <v>1254</v>
      </c>
      <c r="E35" s="13" t="str">
        <f>HYPERLINK("https://youtu.be/ReNuK9Nbjww","channel 1")</f>
        <v>channel 1</v>
      </c>
    </row>
    <row r="36">
      <c r="B36" s="72" t="s">
        <v>1582</v>
      </c>
      <c r="C36" s="73" t="s">
        <v>180</v>
      </c>
      <c r="D36" s="74" t="s">
        <v>663</v>
      </c>
      <c r="E36" s="66" t="str">
        <f>HYPERLINK("https://youtu.be/UmDagaWUsZQ","channel 2")</f>
        <v>channel 2</v>
      </c>
    </row>
    <row r="37">
      <c r="B37" s="72" t="s">
        <v>1254</v>
      </c>
      <c r="C37" s="73" t="s">
        <v>574</v>
      </c>
      <c r="D37" s="74" t="s">
        <v>665</v>
      </c>
      <c r="E37" s="13" t="str">
        <f>HYPERLINK("https://youtu.be/2pBG8aWmMXw","channel 1")</f>
        <v>channel 1</v>
      </c>
    </row>
    <row r="38">
      <c r="B38" s="72" t="s">
        <v>1560</v>
      </c>
      <c r="C38" s="73" t="s">
        <v>89</v>
      </c>
      <c r="D38" s="74" t="s">
        <v>663</v>
      </c>
      <c r="E38" s="66" t="str">
        <f>HYPERLINK("https://youtu.be/Amjc7VTHDnw","channel 2")</f>
        <v>channel 2</v>
      </c>
    </row>
    <row r="39">
      <c r="B39" s="72" t="s">
        <v>1582</v>
      </c>
      <c r="C39" s="70" t="s">
        <v>1584</v>
      </c>
      <c r="D39" s="74" t="s">
        <v>665</v>
      </c>
      <c r="E39" s="13" t="str">
        <f>HYPERLINK("https://youtu.be/kgZlYpTU5t4","channel 1")</f>
        <v>channel 1</v>
      </c>
    </row>
    <row r="40">
      <c r="B40" s="72" t="s">
        <v>1254</v>
      </c>
      <c r="C40" s="73" t="s">
        <v>138</v>
      </c>
      <c r="D40" s="74" t="s">
        <v>663</v>
      </c>
      <c r="E40" s="66" t="str">
        <f>HYPERLINK("https://youtu.be/GRMMB5lEFto","channel 2")</f>
        <v>channel 2</v>
      </c>
    </row>
    <row r="41">
      <c r="B41" s="72" t="s">
        <v>1560</v>
      </c>
      <c r="C41" s="73" t="s">
        <v>214</v>
      </c>
      <c r="D41" s="74" t="s">
        <v>665</v>
      </c>
      <c r="E41" s="13" t="str">
        <f>HYPERLINK("https://www.youtube.com/watch?v=mdFnXoF43jI&amp;feature=youtu.be","channel 1")</f>
        <v>channel 1</v>
      </c>
    </row>
    <row r="42">
      <c r="B42" s="72" t="s">
        <v>1254</v>
      </c>
      <c r="C42" s="73" t="s">
        <v>44</v>
      </c>
      <c r="D42" s="74" t="s">
        <v>1582</v>
      </c>
      <c r="E42" s="66" t="str">
        <f>HYPERLINK("https://youtu.be/lOb4IS2iaGM","channel 2")</f>
        <v>channel 2</v>
      </c>
    </row>
    <row r="43">
      <c r="B43" s="72" t="s">
        <v>663</v>
      </c>
      <c r="C43" s="73" t="s">
        <v>460</v>
      </c>
      <c r="D43" s="74" t="s">
        <v>665</v>
      </c>
      <c r="E43" s="13" t="str">
        <f>HYPERLINK("https://youtu.be/RUNaC5Fbu34","channel 1")</f>
        <v>channel 1</v>
      </c>
    </row>
    <row r="44">
      <c r="B44" s="72" t="s">
        <v>1560</v>
      </c>
      <c r="C44" s="75" t="s">
        <v>59</v>
      </c>
      <c r="D44" s="74" t="s">
        <v>1582</v>
      </c>
      <c r="E44" s="66" t="str">
        <f>HYPERLINK("https://youtu.be/YpyHRGAveqo","channel 2")</f>
        <v>channel 2</v>
      </c>
    </row>
    <row r="45">
      <c r="B45" s="2" t="s">
        <v>971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1342</v>
      </c>
      <c r="C47" s="70" t="s">
        <v>232</v>
      </c>
      <c r="D47" s="71" t="s">
        <v>1587</v>
      </c>
      <c r="E47" s="13" t="str">
        <f>HYPERLINK("https://youtu.be/lgx5mGADK8A","channel 1")</f>
        <v>channel 1</v>
      </c>
    </row>
    <row r="48">
      <c r="B48" s="72" t="s">
        <v>1363</v>
      </c>
      <c r="C48" s="73" t="s">
        <v>405</v>
      </c>
      <c r="D48" s="74" t="s">
        <v>1588</v>
      </c>
      <c r="E48" s="66" t="str">
        <f>HYPERLINK("https://youtu.be/06NIj2FkZgc","channel 2")</f>
        <v>channel 2</v>
      </c>
    </row>
    <row r="49">
      <c r="B49" s="72" t="s">
        <v>131</v>
      </c>
      <c r="C49" s="73" t="s">
        <v>88</v>
      </c>
      <c r="D49" s="74" t="s">
        <v>1342</v>
      </c>
      <c r="E49" s="13" t="str">
        <f>HYPERLINK("https://youtu.be/xZ7c1KsPPsM","channel 1")</f>
        <v>channel 1</v>
      </c>
    </row>
    <row r="50">
      <c r="B50" s="72" t="s">
        <v>1363</v>
      </c>
      <c r="C50" s="73" t="s">
        <v>47</v>
      </c>
      <c r="D50" s="74" t="s">
        <v>1587</v>
      </c>
      <c r="E50" s="66" t="str">
        <f>HYPERLINK("https://youtu.be/jx07TzYTLXQ","channel 2")</f>
        <v>channel 2</v>
      </c>
    </row>
    <row r="51">
      <c r="B51" s="72" t="s">
        <v>131</v>
      </c>
      <c r="C51" s="73" t="s">
        <v>460</v>
      </c>
      <c r="D51" s="74" t="s">
        <v>1588</v>
      </c>
      <c r="E51" s="13" t="str">
        <f>HYPERLINK("https://youtu.be/LLbkV7wiCCY","channel 1")</f>
        <v>channel 1</v>
      </c>
    </row>
    <row r="52">
      <c r="B52" s="72" t="s">
        <v>1363</v>
      </c>
      <c r="C52" s="73" t="s">
        <v>34</v>
      </c>
      <c r="D52" s="74" t="s">
        <v>1342</v>
      </c>
      <c r="E52" s="66" t="str">
        <f>HYPERLINK("https://youtu.be/hW0LME8wWsY","channel 2")</f>
        <v>channel 2</v>
      </c>
    </row>
    <row r="53">
      <c r="B53" s="72" t="s">
        <v>131</v>
      </c>
      <c r="C53" s="73" t="s">
        <v>194</v>
      </c>
      <c r="D53" s="74" t="s">
        <v>1587</v>
      </c>
      <c r="E53" s="13" t="str">
        <f>HYPERLINK("https://youtu.be/01P-GVxTpWw","channel 1")</f>
        <v>channel 1</v>
      </c>
    </row>
    <row r="54">
      <c r="B54" s="72" t="s">
        <v>1588</v>
      </c>
      <c r="C54" s="73" t="s">
        <v>297</v>
      </c>
      <c r="D54" s="74" t="s">
        <v>1342</v>
      </c>
      <c r="E54" s="66" t="str">
        <f>HYPERLINK("https://youtu.be/igVpZlkUvOY","channel 2")</f>
        <v>channel 2</v>
      </c>
    </row>
    <row r="55">
      <c r="B55" s="72" t="s">
        <v>131</v>
      </c>
      <c r="C55" s="73" t="s">
        <v>918</v>
      </c>
      <c r="D55" s="74" t="s">
        <v>1363</v>
      </c>
      <c r="E55" s="13" t="str">
        <f>HYPERLINK("https://youtu.be/SraeWYAIB6E","channel 1")</f>
        <v>channel 1</v>
      </c>
    </row>
    <row r="56">
      <c r="B56" s="72" t="s">
        <v>1588</v>
      </c>
      <c r="C56" s="73" t="s">
        <v>1505</v>
      </c>
      <c r="D56" s="74" t="s">
        <v>1587</v>
      </c>
      <c r="E56" s="66" t="str">
        <f>HYPERLINK("https://youtu.be/n1SB5wn-7nA","channel 2")</f>
        <v>channel 2</v>
      </c>
    </row>
    <row r="57">
      <c r="B57" s="72" t="s">
        <v>1587</v>
      </c>
      <c r="C57" s="73" t="s">
        <v>34</v>
      </c>
      <c r="D57" s="74" t="s">
        <v>1342</v>
      </c>
      <c r="E57" s="13" t="str">
        <f>HYPERLINK("https://youtu.be/reiwWvryMLE","channel 1")</f>
        <v>channel 1</v>
      </c>
    </row>
    <row r="58">
      <c r="B58" s="72" t="s">
        <v>1588</v>
      </c>
      <c r="C58" s="73" t="s">
        <v>1318</v>
      </c>
      <c r="D58" s="74" t="s">
        <v>1363</v>
      </c>
      <c r="E58" s="66" t="str">
        <f>HYPERLINK("https://youtu.be/lnX3K9MNEDs","channel 2")</f>
        <v>channel 2</v>
      </c>
    </row>
    <row r="59">
      <c r="B59" s="72" t="s">
        <v>1342</v>
      </c>
      <c r="C59" s="75" t="s">
        <v>157</v>
      </c>
      <c r="D59" s="74" t="s">
        <v>131</v>
      </c>
      <c r="E59" s="13" t="str">
        <f>HYPERLINK("https://youtu.be/dqLp5TFRjDI","channel 1")</f>
        <v>channel 1</v>
      </c>
    </row>
    <row r="60">
      <c r="B60" s="100" t="s">
        <v>1587</v>
      </c>
      <c r="C60" s="75" t="s">
        <v>47</v>
      </c>
      <c r="D60" s="74" t="s">
        <v>1363</v>
      </c>
      <c r="E60" s="66" t="str">
        <f>HYPERLINK("https://youtu.be/zu_KCWT6EX0","channel 2")</f>
        <v>channel 2</v>
      </c>
    </row>
    <row r="61">
      <c r="B61" s="72" t="s">
        <v>1588</v>
      </c>
      <c r="C61" s="75" t="s">
        <v>278</v>
      </c>
      <c r="D61" s="74" t="s">
        <v>131</v>
      </c>
      <c r="E61" s="13" t="str">
        <f>HYPERLINK("https://youtu.be/SZIERNw6FhQ","channel 1")</f>
        <v>channel 1</v>
      </c>
    </row>
    <row r="62">
      <c r="B62" s="72" t="s">
        <v>1342</v>
      </c>
      <c r="C62" s="75" t="s">
        <v>213</v>
      </c>
      <c r="D62" s="74" t="s">
        <v>1363</v>
      </c>
      <c r="E62" s="66" t="str">
        <f>HYPERLINK("https://youtu.be/mIT2um38YVM","channel 2")</f>
        <v>channel 2</v>
      </c>
    </row>
    <row r="63">
      <c r="B63" s="72" t="s">
        <v>1587</v>
      </c>
      <c r="C63" s="75" t="s">
        <v>246</v>
      </c>
      <c r="D63" s="74" t="s">
        <v>131</v>
      </c>
      <c r="E63" s="13" t="str">
        <f>HYPERLINK("https://youtu.be/jhHMWgwvNz0","channel 1")</f>
        <v>channel 1</v>
      </c>
    </row>
    <row r="64">
      <c r="B64" s="72" t="s">
        <v>1342</v>
      </c>
      <c r="C64" s="75" t="s">
        <v>108</v>
      </c>
      <c r="D64" s="74" t="s">
        <v>1588</v>
      </c>
      <c r="E64" s="66" t="str">
        <f>HYPERLINK("https://youtu.be/ZX3qlQQOecc","channel 2")</f>
        <v>channel 2</v>
      </c>
    </row>
    <row r="65">
      <c r="B65" s="72" t="s">
        <v>1363</v>
      </c>
      <c r="C65" s="75" t="s">
        <v>1596</v>
      </c>
      <c r="D65" s="74" t="s">
        <v>131</v>
      </c>
      <c r="E65" s="13" t="str">
        <f>HYPERLINK("https://youtu.be/3GgEoFvFsvg","channel 1")</f>
        <v>channel 1</v>
      </c>
    </row>
    <row r="66">
      <c r="B66" s="72" t="s">
        <v>1587</v>
      </c>
      <c r="C66" s="75" t="s">
        <v>232</v>
      </c>
      <c r="D66" s="74" t="s">
        <v>1588</v>
      </c>
      <c r="E66" s="66" t="str">
        <f>HYPERLINK("https://youtu.be/bvvair9i3DU","channel 2")</f>
        <v>channel 2</v>
      </c>
    </row>
    <row r="67">
      <c r="B67" s="2" t="s">
        <v>240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1597</v>
      </c>
      <c r="C69" s="70" t="s">
        <v>18</v>
      </c>
      <c r="D69" s="71" t="s">
        <v>998</v>
      </c>
      <c r="E69" s="13" t="str">
        <f>HYPERLINK("https://youtu.be/AxKQMTJvYIA","channel 1")</f>
        <v>channel 1</v>
      </c>
    </row>
    <row r="70">
      <c r="B70" s="72" t="s">
        <v>1598</v>
      </c>
      <c r="C70" s="73" t="s">
        <v>894</v>
      </c>
      <c r="D70" s="74" t="s">
        <v>1599</v>
      </c>
      <c r="E70" s="66" t="str">
        <f>HYPERLINK("https://youtu.be/RAdKwpesR28","channel 2")</f>
        <v>channel 2</v>
      </c>
    </row>
    <row r="71">
      <c r="B71" s="72" t="s">
        <v>154</v>
      </c>
      <c r="C71" s="73" t="s">
        <v>103</v>
      </c>
      <c r="D71" s="74" t="s">
        <v>1597</v>
      </c>
      <c r="E71" s="13" t="str">
        <f>HYPERLINK("https://youtu.be/cHy6GmqPH7I","channel 1")</f>
        <v>channel 1</v>
      </c>
    </row>
    <row r="72">
      <c r="B72" s="72" t="s">
        <v>1598</v>
      </c>
      <c r="C72" s="73" t="s">
        <v>46</v>
      </c>
      <c r="D72" s="74" t="s">
        <v>998</v>
      </c>
      <c r="E72" s="66" t="str">
        <f>HYPERLINK("https://youtu.be/QY5q5MkmSpU","channel 2")</f>
        <v>channel 2</v>
      </c>
    </row>
    <row r="73">
      <c r="B73" s="72" t="s">
        <v>154</v>
      </c>
      <c r="C73" s="73" t="s">
        <v>211</v>
      </c>
      <c r="D73" s="74" t="s">
        <v>1599</v>
      </c>
      <c r="E73" s="13" t="str">
        <f>HYPERLINK("https://youtu.be/omDovi7s9F8","channel 1")</f>
        <v>channel 1</v>
      </c>
    </row>
    <row r="74">
      <c r="B74" s="72" t="s">
        <v>1598</v>
      </c>
      <c r="C74" s="73" t="s">
        <v>1159</v>
      </c>
      <c r="D74" s="74" t="s">
        <v>1597</v>
      </c>
      <c r="E74" s="66" t="str">
        <f>HYPERLINK("https://youtu.be/aqg-Pi3MheY","channel 2")</f>
        <v>channel 2</v>
      </c>
    </row>
    <row r="75">
      <c r="B75" s="72" t="s">
        <v>154</v>
      </c>
      <c r="C75" s="73" t="s">
        <v>110</v>
      </c>
      <c r="D75" s="74" t="s">
        <v>998</v>
      </c>
      <c r="E75" s="13" t="str">
        <f>HYPERLINK("https://youtu.be/uq_T_ndPX3s","channel 1")</f>
        <v>channel 1</v>
      </c>
    </row>
    <row r="76">
      <c r="B76" s="72" t="s">
        <v>1599</v>
      </c>
      <c r="C76" s="73" t="s">
        <v>180</v>
      </c>
      <c r="D76" s="74" t="s">
        <v>1597</v>
      </c>
      <c r="E76" s="66" t="str">
        <f>HYPERLINK("https://youtu.be/blJVzD2iE9s","channel 2")</f>
        <v>channel 2</v>
      </c>
    </row>
    <row r="77">
      <c r="B77" s="72" t="s">
        <v>154</v>
      </c>
      <c r="C77" s="73" t="s">
        <v>736</v>
      </c>
      <c r="D77" s="74" t="s">
        <v>1598</v>
      </c>
      <c r="E77" s="13" t="str">
        <f>HYPERLINK("https://youtu.be/6aPaZRjVo6o","channel 1")</f>
        <v>channel 1</v>
      </c>
    </row>
    <row r="78">
      <c r="B78" s="72" t="s">
        <v>1599</v>
      </c>
      <c r="C78" s="73" t="s">
        <v>117</v>
      </c>
      <c r="D78" s="74" t="s">
        <v>998</v>
      </c>
      <c r="E78" s="66" t="str">
        <f>HYPERLINK("https://youtu.be/sQoYb2hoPYE","channel 2")</f>
        <v>channel 2</v>
      </c>
    </row>
    <row r="79">
      <c r="B79" s="72" t="s">
        <v>998</v>
      </c>
      <c r="C79" s="73" t="s">
        <v>124</v>
      </c>
      <c r="D79" s="74" t="s">
        <v>1597</v>
      </c>
      <c r="E79" s="13" t="str">
        <f>HYPERLINK("https://youtu.be/EmDuoMn9wWI","channel 1")</f>
        <v>channel 1</v>
      </c>
    </row>
    <row r="80">
      <c r="B80" s="72" t="s">
        <v>1599</v>
      </c>
      <c r="C80" s="73" t="s">
        <v>250</v>
      </c>
      <c r="D80" s="74" t="s">
        <v>1598</v>
      </c>
      <c r="E80" s="66" t="str">
        <f>HYPERLINK("https://youtu.be/9l4ezHSSIHg","channel 2")</f>
        <v>channel 2</v>
      </c>
    </row>
    <row r="81">
      <c r="B81" s="72" t="s">
        <v>1597</v>
      </c>
      <c r="C81" s="75" t="s">
        <v>322</v>
      </c>
      <c r="D81" s="74" t="s">
        <v>154</v>
      </c>
      <c r="E81" s="13" t="str">
        <f>HYPERLINK("https://youtu.be/6-PtgGTiMDA","channel 1")</f>
        <v>channel 1</v>
      </c>
    </row>
    <row r="82">
      <c r="B82" s="100" t="s">
        <v>998</v>
      </c>
      <c r="C82" s="75" t="s">
        <v>311</v>
      </c>
      <c r="D82" s="74" t="s">
        <v>1598</v>
      </c>
      <c r="E82" s="66" t="str">
        <f>HYPERLINK("https://youtu.be/uP7fu5v3_5w","channel 2")</f>
        <v>channel 2</v>
      </c>
    </row>
    <row r="83">
      <c r="B83" s="72" t="s">
        <v>1599</v>
      </c>
      <c r="C83" s="75" t="s">
        <v>133</v>
      </c>
      <c r="D83" s="74" t="s">
        <v>154</v>
      </c>
      <c r="E83" s="13" t="str">
        <f>HYPERLINK("https://youtu.be/NGJAlDxZcrU","channel 1")</f>
        <v>channel 1</v>
      </c>
    </row>
    <row r="84">
      <c r="B84" s="72" t="s">
        <v>1597</v>
      </c>
      <c r="C84" s="75" t="s">
        <v>111</v>
      </c>
      <c r="D84" s="74" t="s">
        <v>1598</v>
      </c>
      <c r="E84" s="66" t="str">
        <f>HYPERLINK("https://youtu.be/wT6-lqzDtmo","channel 2")</f>
        <v>channel 2</v>
      </c>
    </row>
    <row r="85">
      <c r="B85" s="72" t="s">
        <v>998</v>
      </c>
      <c r="C85" s="75" t="s">
        <v>216</v>
      </c>
      <c r="D85" s="74" t="s">
        <v>154</v>
      </c>
      <c r="E85" s="13" t="str">
        <f>HYPERLINK("https://youtu.be/CTO3cbpcOug","channel 1")</f>
        <v>channel 1</v>
      </c>
    </row>
    <row r="86">
      <c r="B86" s="72" t="s">
        <v>1597</v>
      </c>
      <c r="C86" s="75" t="s">
        <v>339</v>
      </c>
      <c r="D86" s="74" t="s">
        <v>1599</v>
      </c>
      <c r="E86" s="66" t="str">
        <f>HYPERLINK("https://youtu.be/iXbINTNZja4","channel 2")</f>
        <v>channel 2</v>
      </c>
    </row>
    <row r="87">
      <c r="B87" s="72" t="s">
        <v>1598</v>
      </c>
      <c r="C87" s="75" t="s">
        <v>1601</v>
      </c>
      <c r="D87" s="74" t="s">
        <v>154</v>
      </c>
      <c r="E87" s="13" t="str">
        <f>HYPERLINK("https://youtu.be/jQGYeu9g110","channel 1")</f>
        <v>channel 1</v>
      </c>
    </row>
    <row r="88">
      <c r="B88" s="72" t="s">
        <v>998</v>
      </c>
      <c r="C88" s="75" t="s">
        <v>671</v>
      </c>
      <c r="D88" s="74" t="s">
        <v>1599</v>
      </c>
      <c r="E88" s="66" t="str">
        <f>HYPERLINK("https://youtu.be/8lJZcp7CL3Y","channel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1579</v>
      </c>
      <c r="C3" s="87" t="s">
        <v>89</v>
      </c>
      <c r="D3" s="71" t="s">
        <v>1536</v>
      </c>
      <c r="E3" s="13" t="str">
        <f>HYPERLINK("https://youtu.be/CKk2j3P-1Ho","channel 1")</f>
        <v>channel 1</v>
      </c>
    </row>
    <row r="4">
      <c r="B4" s="72" t="s">
        <v>1580</v>
      </c>
      <c r="C4" s="12" t="s">
        <v>49</v>
      </c>
      <c r="D4" s="74" t="s">
        <v>1412</v>
      </c>
      <c r="E4" s="66" t="str">
        <f>HYPERLINK("https://youtu.be/EwjSghoAPoY","channel 2")</f>
        <v>channel 2</v>
      </c>
    </row>
    <row r="5">
      <c r="B5" s="72" t="s">
        <v>1581</v>
      </c>
      <c r="C5" s="101" t="s">
        <v>538</v>
      </c>
      <c r="D5" s="74" t="s">
        <v>1579</v>
      </c>
      <c r="E5" s="13" t="str">
        <f>HYPERLINK("https://youtu.be/UWbgxX3KBEc","channel 1")</f>
        <v>channel 1</v>
      </c>
    </row>
    <row r="6">
      <c r="B6" s="72" t="s">
        <v>1580</v>
      </c>
      <c r="C6" s="12" t="s">
        <v>24</v>
      </c>
      <c r="D6" s="74" t="s">
        <v>1536</v>
      </c>
      <c r="E6" s="66" t="str">
        <f>HYPERLINK("https://youtu.be/x_wsmDUO-2M","channel 2")</f>
        <v>channel 2</v>
      </c>
    </row>
    <row r="7">
      <c r="B7" s="72" t="s">
        <v>1581</v>
      </c>
      <c r="C7" s="87" t="s">
        <v>224</v>
      </c>
      <c r="D7" s="74" t="s">
        <v>1412</v>
      </c>
      <c r="E7" s="13" t="str">
        <f>HYPERLINK("https://youtu.be/yi8gsBVaZ1o","channel 1")</f>
        <v>channel 1</v>
      </c>
    </row>
    <row r="8">
      <c r="B8" s="72" t="s">
        <v>1580</v>
      </c>
      <c r="C8" s="12" t="s">
        <v>225</v>
      </c>
      <c r="D8" s="74" t="s">
        <v>1579</v>
      </c>
      <c r="E8" s="66" t="str">
        <f>HYPERLINK("https://youtu.be/G-42JYEBysM","channel 2")</f>
        <v>channel 2</v>
      </c>
    </row>
    <row r="9">
      <c r="B9" s="72" t="s">
        <v>1581</v>
      </c>
      <c r="C9" s="101" t="s">
        <v>37</v>
      </c>
      <c r="D9" s="74" t="s">
        <v>1536</v>
      </c>
      <c r="E9" s="13" t="str">
        <f>HYPERLINK("https://youtu.be/3PyPGHmMLUc","channel 1")</f>
        <v>channel 1</v>
      </c>
    </row>
    <row r="10">
      <c r="B10" s="72" t="s">
        <v>1412</v>
      </c>
      <c r="C10" s="12" t="s">
        <v>59</v>
      </c>
      <c r="D10" s="74" t="s">
        <v>1579</v>
      </c>
      <c r="E10" s="66" t="str">
        <f>HYPERLINK("https://youtu.be/1YzIr__ohRo","channel 2")</f>
        <v>channel 2</v>
      </c>
    </row>
    <row r="11">
      <c r="B11" s="72" t="s">
        <v>1581</v>
      </c>
      <c r="C11" s="101" t="s">
        <v>124</v>
      </c>
      <c r="D11" s="74" t="s">
        <v>1580</v>
      </c>
      <c r="E11" s="13" t="str">
        <f>HYPERLINK("https://youtu.be/ajH2EtZs4Dc","channel 1")</f>
        <v>channel 1</v>
      </c>
    </row>
    <row r="12">
      <c r="B12" s="72" t="s">
        <v>1412</v>
      </c>
      <c r="C12" s="12" t="s">
        <v>104</v>
      </c>
      <c r="D12" s="74" t="s">
        <v>1536</v>
      </c>
      <c r="E12" s="66" t="str">
        <f>HYPERLINK("https://youtu.be/PioOWWoEhrk","channel 2")</f>
        <v>channel 2</v>
      </c>
    </row>
    <row r="13">
      <c r="B13" s="72" t="s">
        <v>1536</v>
      </c>
      <c r="C13" s="101" t="s">
        <v>11</v>
      </c>
      <c r="D13" s="74" t="s">
        <v>1579</v>
      </c>
      <c r="E13" s="13" t="str">
        <f>HYPERLINK("https://youtu.be/Qtx-r_u44U8","channel 1")</f>
        <v>channel 1</v>
      </c>
    </row>
    <row r="14">
      <c r="B14" s="72" t="s">
        <v>1412</v>
      </c>
      <c r="C14" s="12" t="s">
        <v>141</v>
      </c>
      <c r="D14" s="74" t="s">
        <v>1580</v>
      </c>
      <c r="E14" s="66" t="str">
        <f>HYPERLINK("https://youtu.be/nGNz6Z-zQ70","channel 2")</f>
        <v>channel 2</v>
      </c>
    </row>
    <row r="15">
      <c r="B15" s="72" t="s">
        <v>1579</v>
      </c>
      <c r="C15" s="12" t="s">
        <v>160</v>
      </c>
      <c r="D15" s="74" t="s">
        <v>1581</v>
      </c>
      <c r="E15" s="13" t="str">
        <f>HYPERLINK("https://youtu.be/Sk5-y8E25Vg","channel 1")</f>
        <v>channel 1</v>
      </c>
    </row>
    <row r="16">
      <c r="B16" s="100" t="s">
        <v>1536</v>
      </c>
      <c r="C16" s="87" t="s">
        <v>44</v>
      </c>
      <c r="D16" s="74" t="s">
        <v>1580</v>
      </c>
      <c r="E16" s="66" t="str">
        <f>HYPERLINK("https://youtu.be/vTMbLnlw6W4","channel 2")</f>
        <v>channel 2</v>
      </c>
    </row>
    <row r="17">
      <c r="B17" s="72" t="s">
        <v>1412</v>
      </c>
      <c r="C17" s="12" t="s">
        <v>226</v>
      </c>
      <c r="D17" s="74" t="s">
        <v>1581</v>
      </c>
      <c r="E17" s="13" t="str">
        <f>HYPERLINK("https://youtu.be/SdM-Exye0Mk","channel 1")</f>
        <v>channel 1</v>
      </c>
    </row>
    <row r="18">
      <c r="B18" s="72" t="s">
        <v>1579</v>
      </c>
      <c r="C18" s="12" t="s">
        <v>338</v>
      </c>
      <c r="D18" s="74" t="s">
        <v>1580</v>
      </c>
      <c r="E18" s="66" t="str">
        <f>HYPERLINK("https://youtu.be/RSTmB_WCkj4","channel 2")</f>
        <v>channel 2</v>
      </c>
    </row>
    <row r="19">
      <c r="B19" s="72" t="s">
        <v>1536</v>
      </c>
      <c r="C19" s="75" t="s">
        <v>93</v>
      </c>
      <c r="D19" s="74" t="s">
        <v>1581</v>
      </c>
      <c r="E19" s="13" t="str">
        <f>HYPERLINK("https://youtu.be/NgQ6ESdq7eM","channel 1")</f>
        <v>channel 1</v>
      </c>
    </row>
    <row r="20">
      <c r="B20" s="72" t="s">
        <v>1579</v>
      </c>
      <c r="C20" s="75" t="s">
        <v>61</v>
      </c>
      <c r="D20" s="74" t="s">
        <v>1412</v>
      </c>
      <c r="E20" s="66" t="str">
        <f>HYPERLINK("https://youtu.be/z_lthO8xKQE","channel 2")</f>
        <v>channel 2</v>
      </c>
    </row>
    <row r="21">
      <c r="B21" s="72" t="s">
        <v>1580</v>
      </c>
      <c r="C21" s="102" t="s">
        <v>232</v>
      </c>
      <c r="D21" s="74" t="s">
        <v>1581</v>
      </c>
      <c r="E21" s="13" t="str">
        <f>HYPERLINK("https://youtu.be/uT2fH8-gA1A","channel 1")</f>
        <v>channel 1</v>
      </c>
    </row>
    <row r="22">
      <c r="B22" s="72" t="s">
        <v>1536</v>
      </c>
      <c r="C22" s="18" t="s">
        <v>80</v>
      </c>
      <c r="D22" s="74" t="s">
        <v>1412</v>
      </c>
      <c r="E22" s="66" t="str">
        <f>HYPERLINK("https://youtu.be/HswAt4Q6Imo","channel 2")</f>
        <v>channel 2</v>
      </c>
    </row>
    <row r="23">
      <c r="B23" s="2" t="s">
        <v>64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67</v>
      </c>
      <c r="C25" s="70" t="s">
        <v>99</v>
      </c>
      <c r="D25" s="71" t="s">
        <v>1589</v>
      </c>
      <c r="E25" s="13" t="str">
        <f>HYPERLINK("https://youtu.be/F9lf-uo99K0","channel 1")</f>
        <v>channel 1</v>
      </c>
    </row>
    <row r="26">
      <c r="B26" s="72" t="s">
        <v>1452</v>
      </c>
      <c r="C26" s="73" t="s">
        <v>47</v>
      </c>
      <c r="D26" s="74" t="s">
        <v>1590</v>
      </c>
      <c r="E26" s="66" t="str">
        <f>HYPERLINK("https://youtu.be/7mHu7F2l3DI","channel 2")</f>
        <v>channel 2</v>
      </c>
    </row>
    <row r="27">
      <c r="B27" s="72" t="s">
        <v>1591</v>
      </c>
      <c r="C27" s="73" t="s">
        <v>218</v>
      </c>
      <c r="D27" s="74" t="s">
        <v>67</v>
      </c>
      <c r="E27" s="13" t="str">
        <f>HYPERLINK("https://youtu.be/h2XR8DfJSFM","channel 1")</f>
        <v>channel 1</v>
      </c>
    </row>
    <row r="28">
      <c r="B28" s="72" t="s">
        <v>1452</v>
      </c>
      <c r="C28" s="73" t="s">
        <v>522</v>
      </c>
      <c r="D28" s="74" t="s">
        <v>1589</v>
      </c>
      <c r="E28" s="66" t="str">
        <f>HYPERLINK("https://youtu.be/ZkcRLBDPECw","channel 2")</f>
        <v>channel 2</v>
      </c>
    </row>
    <row r="29">
      <c r="B29" s="72" t="s">
        <v>1591</v>
      </c>
      <c r="C29" s="73" t="s">
        <v>103</v>
      </c>
      <c r="D29" s="74" t="s">
        <v>1590</v>
      </c>
      <c r="E29" s="13" t="str">
        <f>HYPERLINK("https://youtu.be/AdhRJH1-zWQ","channel 1")</f>
        <v>channel 1</v>
      </c>
    </row>
    <row r="30">
      <c r="B30" s="72" t="s">
        <v>1452</v>
      </c>
      <c r="C30" s="73" t="s">
        <v>45</v>
      </c>
      <c r="D30" s="74" t="s">
        <v>67</v>
      </c>
      <c r="E30" s="66" t="str">
        <f>HYPERLINK("https://youtu.be/etU0M4Vh3EU","channel 2")</f>
        <v>channel 2</v>
      </c>
    </row>
    <row r="31">
      <c r="B31" s="72" t="s">
        <v>1591</v>
      </c>
      <c r="C31" s="73" t="s">
        <v>144</v>
      </c>
      <c r="D31" s="74" t="s">
        <v>1589</v>
      </c>
      <c r="E31" s="13" t="str">
        <f>HYPERLINK("https://youtu.be/890DtRj-lmA","channel 1")</f>
        <v>channel 1</v>
      </c>
    </row>
    <row r="32">
      <c r="B32" s="72" t="s">
        <v>1590</v>
      </c>
      <c r="C32" s="73" t="s">
        <v>337</v>
      </c>
      <c r="D32" s="74" t="s">
        <v>67</v>
      </c>
      <c r="E32" s="66" t="str">
        <f>HYPERLINK("https://youtu.be/JNPuSLSfbZw","channel 2")</f>
        <v>channel 2</v>
      </c>
    </row>
    <row r="33">
      <c r="B33" s="72" t="s">
        <v>1591</v>
      </c>
      <c r="C33" s="73" t="s">
        <v>99</v>
      </c>
      <c r="D33" s="72" t="s">
        <v>1452</v>
      </c>
      <c r="E33" s="13" t="str">
        <f>HYPERLINK("https://youtu.be/Xf7VQJqivFA","channel 1")</f>
        <v>channel 1</v>
      </c>
    </row>
    <row r="34">
      <c r="B34" s="72" t="s">
        <v>1590</v>
      </c>
      <c r="C34" s="73" t="s">
        <v>297</v>
      </c>
      <c r="D34" s="74" t="s">
        <v>1589</v>
      </c>
      <c r="E34" s="66" t="str">
        <f>HYPERLINK("https://youtu.be/-BNCLEMdkGY","channel 2")</f>
        <v>channel 2</v>
      </c>
    </row>
    <row r="35">
      <c r="B35" s="72" t="s">
        <v>1589</v>
      </c>
      <c r="C35" s="73" t="s">
        <v>30</v>
      </c>
      <c r="D35" s="74" t="s">
        <v>67</v>
      </c>
      <c r="E35" s="13" t="str">
        <f>HYPERLINK("https://youtu.be/lZ4RhEVhMSU","channel 1")</f>
        <v>channel 1</v>
      </c>
    </row>
    <row r="36">
      <c r="B36" s="72" t="s">
        <v>1590</v>
      </c>
      <c r="C36" s="73" t="s">
        <v>522</v>
      </c>
      <c r="D36" s="72" t="s">
        <v>1452</v>
      </c>
      <c r="E36" s="66" t="str">
        <f>HYPERLINK("https://youtu.be/DV_XEJJIfMw","channel 2")</f>
        <v>channel 2</v>
      </c>
    </row>
    <row r="37">
      <c r="B37" s="72" t="s">
        <v>67</v>
      </c>
      <c r="C37" s="73" t="s">
        <v>698</v>
      </c>
      <c r="D37" s="74" t="s">
        <v>1591</v>
      </c>
      <c r="E37" s="13" t="str">
        <f>HYPERLINK("https://youtu.be/nRkfTV-J8gM","channel 1")</f>
        <v>channel 1</v>
      </c>
    </row>
    <row r="38">
      <c r="B38" s="72" t="s">
        <v>1589</v>
      </c>
      <c r="C38" s="73" t="s">
        <v>93</v>
      </c>
      <c r="D38" s="72" t="s">
        <v>1452</v>
      </c>
      <c r="E38" s="66" t="str">
        <f>HYPERLINK("https://youtu.be/EvqF19BtBoo","channel 2")</f>
        <v>channel 2</v>
      </c>
    </row>
    <row r="39">
      <c r="B39" s="72" t="s">
        <v>1590</v>
      </c>
      <c r="C39" s="73" t="s">
        <v>111</v>
      </c>
      <c r="D39" s="74" t="s">
        <v>1591</v>
      </c>
      <c r="E39" s="13" t="str">
        <f>HYPERLINK("https://youtu.be/UTftVDRGkRo","channel 1")</f>
        <v>channel 1</v>
      </c>
    </row>
    <row r="40">
      <c r="B40" s="72" t="s">
        <v>67</v>
      </c>
      <c r="C40" s="73" t="s">
        <v>232</v>
      </c>
      <c r="D40" s="72" t="s">
        <v>1452</v>
      </c>
      <c r="E40" s="66" t="str">
        <f>HYPERLINK("https://youtu.be/rSuV-6VZaxQ","channel 2")</f>
        <v>channel 2</v>
      </c>
    </row>
    <row r="41">
      <c r="B41" s="72" t="s">
        <v>1589</v>
      </c>
      <c r="C41" s="73" t="s">
        <v>982</v>
      </c>
      <c r="D41" s="74" t="s">
        <v>1591</v>
      </c>
      <c r="E41" s="13" t="str">
        <f>HYPERLINK("https://youtu.be/BuaLj_285vE","channel 1")</f>
        <v>channel 1</v>
      </c>
    </row>
    <row r="42">
      <c r="B42" s="72" t="s">
        <v>67</v>
      </c>
      <c r="C42" s="73" t="s">
        <v>179</v>
      </c>
      <c r="D42" s="74" t="s">
        <v>1590</v>
      </c>
      <c r="E42" s="66" t="str">
        <f>HYPERLINK("https://youtu.be/XV6AVdTXse0","channel 2")</f>
        <v>channel 2</v>
      </c>
    </row>
    <row r="43">
      <c r="B43" s="72" t="s">
        <v>1452</v>
      </c>
      <c r="C43" s="73" t="s">
        <v>18</v>
      </c>
      <c r="D43" s="74" t="s">
        <v>1591</v>
      </c>
      <c r="E43" s="13" t="str">
        <f>HYPERLINK("https://youtu.be/Hmgg_0EIQLA","channel 1")</f>
        <v>channel 1</v>
      </c>
    </row>
    <row r="44">
      <c r="B44" s="72" t="s">
        <v>1589</v>
      </c>
      <c r="C44" s="75" t="s">
        <v>32</v>
      </c>
      <c r="D44" s="74" t="s">
        <v>1590</v>
      </c>
      <c r="E44" s="66" t="str">
        <f>HYPERLINK("https://youtu.be/9x8vN4IpiPc","channel 2")</f>
        <v>channel 2</v>
      </c>
    </row>
    <row r="45">
      <c r="B45" s="2" t="s">
        <v>700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703</v>
      </c>
      <c r="C47" s="70" t="s">
        <v>102</v>
      </c>
      <c r="D47" s="71" t="s">
        <v>53</v>
      </c>
      <c r="E47" s="13" t="str">
        <f>HYPERLINK("https://youtu.be/Pcf-ub_mGag","channel 1")</f>
        <v>channel 1</v>
      </c>
    </row>
    <row r="48">
      <c r="B48" s="72" t="s">
        <v>654</v>
      </c>
      <c r="C48" s="73" t="s">
        <v>319</v>
      </c>
      <c r="D48" s="74" t="s">
        <v>1600</v>
      </c>
      <c r="E48" s="66" t="str">
        <f>HYPERLINK("https://youtu.be/TTgyVX1joMs","channel 2")</f>
        <v>channel 2</v>
      </c>
    </row>
    <row r="49">
      <c r="B49" s="72" t="s">
        <v>644</v>
      </c>
      <c r="C49" s="73" t="s">
        <v>237</v>
      </c>
      <c r="D49" s="74" t="s">
        <v>703</v>
      </c>
      <c r="E49" s="13" t="str">
        <f>HYPERLINK("https://youtu.be/ymFncYonhOQ","channel 1")</f>
        <v>channel 1</v>
      </c>
    </row>
    <row r="50">
      <c r="B50" s="72" t="s">
        <v>654</v>
      </c>
      <c r="C50" s="73" t="s">
        <v>146</v>
      </c>
      <c r="D50" s="74" t="s">
        <v>53</v>
      </c>
      <c r="E50" s="66" t="str">
        <f>HYPERLINK("https://youtu.be/zadnVNXgRlQ","channel 2")</f>
        <v>channel 2</v>
      </c>
    </row>
    <row r="51">
      <c r="B51" s="72" t="s">
        <v>644</v>
      </c>
      <c r="C51" s="73" t="s">
        <v>148</v>
      </c>
      <c r="D51" s="74" t="s">
        <v>1600</v>
      </c>
      <c r="E51" s="13" t="str">
        <f>HYPERLINK("https://youtu.be/RO-hptK-S9k","channel 1")</f>
        <v>channel 1</v>
      </c>
    </row>
    <row r="52">
      <c r="B52" s="72" t="s">
        <v>654</v>
      </c>
      <c r="C52" s="73" t="s">
        <v>770</v>
      </c>
      <c r="D52" s="74" t="s">
        <v>703</v>
      </c>
      <c r="E52" s="66" t="str">
        <f>HYPERLINK("https://youtu.be/w5AHerrwUXM","channel 2")</f>
        <v>channel 2</v>
      </c>
    </row>
    <row r="53">
      <c r="B53" s="72" t="s">
        <v>644</v>
      </c>
      <c r="C53" s="73" t="s">
        <v>99</v>
      </c>
      <c r="D53" s="74" t="s">
        <v>53</v>
      </c>
      <c r="E53" s="13" t="str">
        <f>HYPERLINK("https://youtu.be/CgB7PMYaYp0","channel 1")</f>
        <v>channel 1</v>
      </c>
    </row>
    <row r="54">
      <c r="B54" s="72" t="s">
        <v>1600</v>
      </c>
      <c r="C54" s="73" t="s">
        <v>127</v>
      </c>
      <c r="D54" s="74" t="s">
        <v>703</v>
      </c>
      <c r="E54" s="66" t="str">
        <f>HYPERLINK("https://youtu.be/5KX_qbzvkek","channel 2")</f>
        <v>channel 2</v>
      </c>
    </row>
    <row r="55">
      <c r="B55" s="72" t="s">
        <v>644</v>
      </c>
      <c r="C55" s="73" t="s">
        <v>384</v>
      </c>
      <c r="D55" s="74" t="s">
        <v>654</v>
      </c>
      <c r="E55" s="13" t="str">
        <f>HYPERLINK("https://youtu.be/sBGDIgugF1g","channel 1")</f>
        <v>channel 1</v>
      </c>
    </row>
    <row r="56">
      <c r="B56" s="72" t="s">
        <v>1600</v>
      </c>
      <c r="C56" s="73" t="s">
        <v>194</v>
      </c>
      <c r="D56" s="74" t="s">
        <v>53</v>
      </c>
      <c r="E56" s="66" t="str">
        <f>HYPERLINK("https://youtu.be/VD1c_OW5pUw","channel 2")</f>
        <v>channel 2</v>
      </c>
    </row>
    <row r="57">
      <c r="B57" s="72" t="s">
        <v>53</v>
      </c>
      <c r="C57" s="73" t="s">
        <v>18</v>
      </c>
      <c r="D57" s="74" t="s">
        <v>703</v>
      </c>
      <c r="E57" s="13" t="str">
        <f>HYPERLINK("https://youtu.be/SKbs3Sgxdzo","channel 1")</f>
        <v>channel 1</v>
      </c>
    </row>
    <row r="58">
      <c r="B58" s="72" t="s">
        <v>1600</v>
      </c>
      <c r="C58" s="73" t="s">
        <v>458</v>
      </c>
      <c r="D58" s="74" t="s">
        <v>654</v>
      </c>
      <c r="E58" s="66" t="str">
        <f>HYPERLINK("https://youtu.be/gZMRiC-9V-w","channel 2")</f>
        <v>channel 2</v>
      </c>
    </row>
    <row r="59">
      <c r="B59" s="72" t="s">
        <v>703</v>
      </c>
      <c r="C59" s="75" t="s">
        <v>10</v>
      </c>
      <c r="D59" s="74" t="s">
        <v>644</v>
      </c>
      <c r="E59" s="13" t="str">
        <f>HYPERLINK("https://youtu.be/dsCwtkCN7z8","channel 1")</f>
        <v>channel 1</v>
      </c>
    </row>
    <row r="60">
      <c r="B60" s="100" t="s">
        <v>53</v>
      </c>
      <c r="C60" s="75" t="s">
        <v>887</v>
      </c>
      <c r="D60" s="74" t="s">
        <v>654</v>
      </c>
      <c r="E60" s="66" t="str">
        <f>HYPERLINK("https://youtu.be/ZH_hBmRqsYw","channel 2")</f>
        <v>channel 2</v>
      </c>
    </row>
    <row r="61">
      <c r="B61" s="72" t="s">
        <v>1600</v>
      </c>
      <c r="C61" s="75" t="s">
        <v>59</v>
      </c>
      <c r="D61" s="74" t="s">
        <v>644</v>
      </c>
      <c r="E61" s="13" t="str">
        <f>HYPERLINK("https://youtu.be/_NpwfW9FZAc","channel 1")</f>
        <v>channel 1</v>
      </c>
    </row>
    <row r="62">
      <c r="B62" s="72" t="s">
        <v>703</v>
      </c>
      <c r="C62" s="75" t="s">
        <v>571</v>
      </c>
      <c r="D62" s="74" t="s">
        <v>654</v>
      </c>
      <c r="E62" s="65" t="s">
        <v>28</v>
      </c>
    </row>
    <row r="63">
      <c r="B63" s="72" t="s">
        <v>53</v>
      </c>
      <c r="C63" s="75" t="s">
        <v>156</v>
      </c>
      <c r="D63" s="74" t="s">
        <v>644</v>
      </c>
      <c r="E63" s="13" t="str">
        <f>HYPERLINK("https://youtu.be/mtl7Nv2ZjU4","channel 1")</f>
        <v>channel 1</v>
      </c>
    </row>
    <row r="64">
      <c r="B64" s="72" t="s">
        <v>703</v>
      </c>
      <c r="C64" s="75" t="s">
        <v>691</v>
      </c>
      <c r="D64" s="74" t="s">
        <v>1600</v>
      </c>
      <c r="E64" s="66" t="str">
        <f>HYPERLINK("https://youtu.be/8sOTEqcing0","channel 2")</f>
        <v>channel 2</v>
      </c>
    </row>
    <row r="65">
      <c r="B65" s="72" t="s">
        <v>654</v>
      </c>
      <c r="C65" s="75" t="s">
        <v>226</v>
      </c>
      <c r="D65" s="74" t="s">
        <v>644</v>
      </c>
      <c r="E65" s="13" t="str">
        <f>HYPERLINK("https://youtu.be/FjXBQylJSJs","channel 1")</f>
        <v>channel 1</v>
      </c>
    </row>
    <row r="66">
      <c r="B66" s="72" t="s">
        <v>53</v>
      </c>
      <c r="C66" s="75" t="s">
        <v>343</v>
      </c>
      <c r="D66" s="74" t="s">
        <v>1600</v>
      </c>
      <c r="E66" s="66" t="str">
        <f>HYPERLINK("https://youtu.be/_grmVsNboGI","channel 2")</f>
        <v>channel 2</v>
      </c>
    </row>
    <row r="67">
      <c r="B67" s="2" t="s">
        <v>1425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1491</v>
      </c>
      <c r="C69" s="70" t="s">
        <v>232</v>
      </c>
      <c r="D69" s="71" t="s">
        <v>1368</v>
      </c>
      <c r="E69" s="13" t="str">
        <f>HYPERLINK("https://youtu.be/D5518wabUc0","channel 1")</f>
        <v>channel 1</v>
      </c>
    </row>
    <row r="70">
      <c r="B70" s="72" t="s">
        <v>1602</v>
      </c>
      <c r="C70" s="73" t="s">
        <v>278</v>
      </c>
      <c r="D70" s="74" t="s">
        <v>1490</v>
      </c>
      <c r="E70" s="66" t="str">
        <f>HYPERLINK("https://youtu.be/gv8p4-HW3bc","channel 2")</f>
        <v>channel 2</v>
      </c>
    </row>
    <row r="71">
      <c r="B71" s="72" t="s">
        <v>1603</v>
      </c>
      <c r="C71" s="73" t="s">
        <v>188</v>
      </c>
      <c r="D71" s="74" t="s">
        <v>1491</v>
      </c>
      <c r="E71" s="13" t="str">
        <f>HYPERLINK("https://youtu.be/Bp7P8M85E1g","channel 1")</f>
        <v>channel 1</v>
      </c>
    </row>
    <row r="72">
      <c r="B72" s="72" t="s">
        <v>1602</v>
      </c>
      <c r="C72" s="73" t="s">
        <v>107</v>
      </c>
      <c r="D72" s="74" t="s">
        <v>1368</v>
      </c>
      <c r="E72" s="66" t="str">
        <f>HYPERLINK("https://youtu.be/NPQMwYivj5o","channel 2")</f>
        <v>channel 2</v>
      </c>
    </row>
    <row r="73">
      <c r="B73" s="72" t="s">
        <v>1603</v>
      </c>
      <c r="C73" s="73" t="s">
        <v>37</v>
      </c>
      <c r="D73" s="74" t="s">
        <v>1490</v>
      </c>
      <c r="E73" s="13" t="str">
        <f>HYPERLINK("https://youtu.be/PdIoZNXjKrM","channel 1")</f>
        <v>channel 1</v>
      </c>
    </row>
    <row r="74">
      <c r="B74" s="72" t="s">
        <v>1602</v>
      </c>
      <c r="C74" s="73" t="s">
        <v>225</v>
      </c>
      <c r="D74" s="74" t="s">
        <v>1491</v>
      </c>
      <c r="E74" s="66" t="str">
        <f>HYPERLINK("https://youtu.be/EYj9hqK0aQ0","channel 2")</f>
        <v>channel 2</v>
      </c>
    </row>
    <row r="75">
      <c r="B75" s="72" t="s">
        <v>1603</v>
      </c>
      <c r="C75" s="73" t="s">
        <v>106</v>
      </c>
      <c r="D75" s="74" t="s">
        <v>1368</v>
      </c>
      <c r="E75" s="13" t="str">
        <f>HYPERLINK("https://youtu.be/bM5jwoLfebI","channel 1")</f>
        <v>channel 1</v>
      </c>
    </row>
    <row r="76">
      <c r="B76" s="72" t="s">
        <v>1490</v>
      </c>
      <c r="C76" s="73" t="s">
        <v>545</v>
      </c>
      <c r="D76" s="74" t="s">
        <v>1491</v>
      </c>
      <c r="E76" s="66" t="str">
        <f>HYPERLINK("https://youtu.be/N-aj2P12mbI","channel 2")</f>
        <v>channel 2</v>
      </c>
    </row>
    <row r="77">
      <c r="B77" s="72" t="s">
        <v>1603</v>
      </c>
      <c r="C77" s="73" t="s">
        <v>42</v>
      </c>
      <c r="D77" s="74" t="s">
        <v>1602</v>
      </c>
      <c r="E77" s="13" t="str">
        <f>HYPERLINK("https://youtu.be/NQdlTN8JzbY","channel 1")</f>
        <v>channel 1</v>
      </c>
    </row>
    <row r="78">
      <c r="B78" s="72" t="s">
        <v>1490</v>
      </c>
      <c r="C78" s="73" t="s">
        <v>47</v>
      </c>
      <c r="D78" s="74" t="s">
        <v>1368</v>
      </c>
      <c r="E78" s="66" t="str">
        <f>HYPERLINK("https://youtu.be/YwsAy_8pDbA","channel 2")</f>
        <v>channel 2</v>
      </c>
    </row>
    <row r="79">
      <c r="B79" s="72" t="s">
        <v>1368</v>
      </c>
      <c r="C79" s="73" t="s">
        <v>218</v>
      </c>
      <c r="D79" s="74" t="s">
        <v>1491</v>
      </c>
      <c r="E79" s="13" t="str">
        <f>HYPERLINK("https://youtu.be/582q41ne5UQ","channel 1")</f>
        <v>channel 1</v>
      </c>
    </row>
    <row r="80">
      <c r="B80" s="72" t="s">
        <v>1490</v>
      </c>
      <c r="C80" s="73" t="s">
        <v>90</v>
      </c>
      <c r="D80" s="74" t="s">
        <v>1602</v>
      </c>
      <c r="E80" s="66" t="str">
        <f>HYPERLINK("https://youtu.be/Q6PunTtnJqg","channel 2")</f>
        <v>channel 2</v>
      </c>
    </row>
    <row r="81">
      <c r="B81" s="72" t="s">
        <v>1491</v>
      </c>
      <c r="C81" s="75" t="s">
        <v>226</v>
      </c>
      <c r="D81" s="74" t="s">
        <v>1603</v>
      </c>
      <c r="E81" s="13" t="str">
        <f>HYPERLINK("https://youtu.be/vcdg2wuUXy8","channel 1")</f>
        <v>channel 1</v>
      </c>
    </row>
    <row r="82">
      <c r="B82" s="100" t="s">
        <v>1368</v>
      </c>
      <c r="C82" s="75" t="s">
        <v>49</v>
      </c>
      <c r="D82" s="74" t="s">
        <v>1602</v>
      </c>
      <c r="E82" s="65" t="s">
        <v>28</v>
      </c>
    </row>
    <row r="83">
      <c r="B83" s="72" t="s">
        <v>1490</v>
      </c>
      <c r="C83" s="75" t="s">
        <v>109</v>
      </c>
      <c r="D83" s="74" t="s">
        <v>1603</v>
      </c>
      <c r="E83" s="13" t="str">
        <f>HYPERLINK("https://youtu.be/-8_8fatKqMs","channel 1")</f>
        <v>channel 1</v>
      </c>
    </row>
    <row r="84">
      <c r="B84" s="72" t="s">
        <v>1491</v>
      </c>
      <c r="C84" s="75" t="s">
        <v>237</v>
      </c>
      <c r="D84" s="74" t="s">
        <v>1602</v>
      </c>
      <c r="E84" s="66" t="str">
        <f>HYPERLINK("https://youtu.be/XDwMcQolvFw","channel 2")</f>
        <v>channel 2</v>
      </c>
    </row>
    <row r="85">
      <c r="B85" s="72" t="s">
        <v>1368</v>
      </c>
      <c r="C85" s="75" t="s">
        <v>46</v>
      </c>
      <c r="D85" s="74" t="s">
        <v>1603</v>
      </c>
      <c r="E85" s="13" t="str">
        <f>HYPERLINK("https://youtu.be/Vi0id1m8Vdk","channel 1")</f>
        <v>channel 1</v>
      </c>
    </row>
    <row r="86">
      <c r="B86" s="72" t="s">
        <v>1491</v>
      </c>
      <c r="C86" s="75" t="s">
        <v>97</v>
      </c>
      <c r="D86" s="74" t="s">
        <v>1490</v>
      </c>
      <c r="E86" s="66" t="str">
        <f>HYPERLINK("https://youtu.be/LMZgPjz_qXE","channel 2")</f>
        <v>channel 2</v>
      </c>
    </row>
    <row r="87">
      <c r="B87" s="72" t="s">
        <v>1602</v>
      </c>
      <c r="C87" s="75" t="s">
        <v>46</v>
      </c>
      <c r="D87" s="74" t="s">
        <v>1603</v>
      </c>
      <c r="E87" s="13" t="str">
        <f>HYPERLINK("https://youtu.be/w2EVPVa54MI","channel 1")</f>
        <v>channel 1</v>
      </c>
    </row>
    <row r="88">
      <c r="B88" s="72" t="s">
        <v>1368</v>
      </c>
      <c r="C88" s="75" t="s">
        <v>156</v>
      </c>
      <c r="D88" s="74" t="s">
        <v>1490</v>
      </c>
      <c r="E88" s="66" t="str">
        <f>HYPERLINK("https://youtu.be/-9zeeOXceaI","channel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17</v>
      </c>
      <c r="C3" s="87" t="s">
        <v>99</v>
      </c>
      <c r="D3" s="71" t="s">
        <v>8</v>
      </c>
      <c r="E3" s="13" t="str">
        <f>HYPERLINK("https://youtu.be/y05bZemIif8","channel 1")</f>
        <v>channel 1</v>
      </c>
    </row>
    <row r="4">
      <c r="B4" s="72" t="s">
        <v>1585</v>
      </c>
      <c r="C4" s="12" t="s">
        <v>97</v>
      </c>
      <c r="D4" s="74" t="s">
        <v>1484</v>
      </c>
      <c r="E4" s="66" t="str">
        <f>HYPERLINK("https://youtu.be/VsIHxPg9c2c","channel 2")</f>
        <v>channel 2</v>
      </c>
    </row>
    <row r="5">
      <c r="B5" s="72" t="s">
        <v>1586</v>
      </c>
      <c r="C5" s="101" t="s">
        <v>322</v>
      </c>
      <c r="D5" s="74" t="s">
        <v>17</v>
      </c>
      <c r="E5" s="13" t="str">
        <f>HYPERLINK("https://youtu.be/YSIRt21Kf-s","channel 1")</f>
        <v>channel 1</v>
      </c>
    </row>
    <row r="6">
      <c r="B6" s="72" t="s">
        <v>1585</v>
      </c>
      <c r="C6" s="12" t="s">
        <v>47</v>
      </c>
      <c r="D6" s="74" t="s">
        <v>8</v>
      </c>
      <c r="E6" s="66" t="str">
        <f>HYPERLINK("https://youtu.be/7tHD3_TMnsQ","channel 2")</f>
        <v>channel 2</v>
      </c>
    </row>
    <row r="7">
      <c r="B7" s="72" t="s">
        <v>1586</v>
      </c>
      <c r="C7" s="87" t="s">
        <v>24</v>
      </c>
      <c r="D7" s="74" t="s">
        <v>1484</v>
      </c>
      <c r="E7" s="13" t="str">
        <f>HYPERLINK("https://youtu.be/4aOvGHNwa14","channel 1")</f>
        <v>channel 1</v>
      </c>
    </row>
    <row r="8">
      <c r="B8" s="72" t="s">
        <v>1585</v>
      </c>
      <c r="C8" s="12" t="s">
        <v>109</v>
      </c>
      <c r="D8" s="74" t="s">
        <v>17</v>
      </c>
      <c r="E8" s="66" t="str">
        <f>HYPERLINK("https://youtu.be/Fjg3U6ji4eI","channel 2")</f>
        <v>channel 2</v>
      </c>
    </row>
    <row r="9">
      <c r="B9" s="72" t="s">
        <v>1586</v>
      </c>
      <c r="C9" s="101" t="s">
        <v>35</v>
      </c>
      <c r="D9" s="74" t="s">
        <v>8</v>
      </c>
      <c r="E9" s="13" t="str">
        <f>HYPERLINK("https://youtu.be/AeDu78hOQyA","channel 1")</f>
        <v>channel 1</v>
      </c>
    </row>
    <row r="10">
      <c r="B10" s="72" t="s">
        <v>1484</v>
      </c>
      <c r="C10" s="12" t="s">
        <v>93</v>
      </c>
      <c r="D10" s="74" t="s">
        <v>17</v>
      </c>
      <c r="E10" s="66" t="str">
        <f>HYPERLINK("https://youtu.be/ClvmQr7WP-0","channel 2")</f>
        <v>channel 2</v>
      </c>
    </row>
    <row r="11">
      <c r="B11" s="72" t="s">
        <v>1586</v>
      </c>
      <c r="C11" s="101" t="s">
        <v>375</v>
      </c>
      <c r="D11" s="74" t="s">
        <v>1585</v>
      </c>
      <c r="E11" s="13" t="str">
        <f>HYPERLINK("https://youtu.be/K6sjDseoHPk","channel 1")</f>
        <v>channel 1</v>
      </c>
    </row>
    <row r="12">
      <c r="B12" s="72" t="s">
        <v>1484</v>
      </c>
      <c r="C12" s="12" t="s">
        <v>212</v>
      </c>
      <c r="D12" s="74" t="s">
        <v>8</v>
      </c>
      <c r="E12" s="66" t="str">
        <f>HYPERLINK("https://youtu.be/j35MNJ1zF80","channel 2")</f>
        <v>channel 2</v>
      </c>
    </row>
    <row r="13">
      <c r="B13" s="72" t="s">
        <v>8</v>
      </c>
      <c r="C13" s="101" t="s">
        <v>232</v>
      </c>
      <c r="D13" s="74" t="s">
        <v>17</v>
      </c>
      <c r="E13" s="13" t="str">
        <f>HYPERLINK("https://youtu.be/3vIMoVNaRAM","channel 1")</f>
        <v>channel 1</v>
      </c>
    </row>
    <row r="14">
      <c r="B14" s="72" t="s">
        <v>1484</v>
      </c>
      <c r="C14" s="12" t="s">
        <v>135</v>
      </c>
      <c r="D14" s="74" t="s">
        <v>1585</v>
      </c>
      <c r="E14" s="66" t="str">
        <f>HYPERLINK("https://youtu.be/ZCYt21WzBkU","channel 2")</f>
        <v>channel 2</v>
      </c>
    </row>
    <row r="15">
      <c r="B15" s="72" t="s">
        <v>17</v>
      </c>
      <c r="C15" s="12" t="s">
        <v>32</v>
      </c>
      <c r="D15" s="74" t="s">
        <v>1586</v>
      </c>
      <c r="E15" s="13" t="str">
        <f>HYPERLINK("https://youtu.be/itnmtgeWeTA","channel 1")</f>
        <v>channel 1</v>
      </c>
    </row>
    <row r="16">
      <c r="B16" s="100" t="s">
        <v>8</v>
      </c>
      <c r="C16" s="87" t="s">
        <v>34</v>
      </c>
      <c r="D16" s="74" t="s">
        <v>1585</v>
      </c>
      <c r="E16" s="66" t="str">
        <f>HYPERLINK("https://youtu.be/dOTcewpCfEo","channel 2")</f>
        <v>channel 2</v>
      </c>
    </row>
    <row r="17">
      <c r="B17" s="72" t="s">
        <v>1484</v>
      </c>
      <c r="C17" s="12" t="s">
        <v>141</v>
      </c>
      <c r="D17" s="74" t="s">
        <v>1586</v>
      </c>
      <c r="E17" s="13" t="str">
        <f>HYPERLINK("https://youtu.be/akaBwhxWT-w","channel 1")</f>
        <v>channel 1</v>
      </c>
    </row>
    <row r="18">
      <c r="B18" s="72" t="s">
        <v>17</v>
      </c>
      <c r="C18" s="12" t="s">
        <v>184</v>
      </c>
      <c r="D18" s="74" t="s">
        <v>1585</v>
      </c>
      <c r="E18" s="66" t="str">
        <f>HYPERLINK("https://youtu.be/BaRsNFN53bU","channel 2")</f>
        <v>channel 2</v>
      </c>
    </row>
    <row r="19">
      <c r="B19" s="72" t="s">
        <v>8</v>
      </c>
      <c r="C19" s="75" t="s">
        <v>226</v>
      </c>
      <c r="D19" s="74" t="s">
        <v>1586</v>
      </c>
      <c r="E19" s="13" t="str">
        <f>HYPERLINK("https://youtu.be/urOQFXFeiO4","channel 1")</f>
        <v>channel 1</v>
      </c>
    </row>
    <row r="20">
      <c r="B20" s="72" t="s">
        <v>17</v>
      </c>
      <c r="C20" s="75" t="s">
        <v>272</v>
      </c>
      <c r="D20" s="74" t="s">
        <v>1484</v>
      </c>
      <c r="E20" s="66" t="str">
        <f>HYPERLINK("https://youtu.be/V-xigTVpJqQ","channel 2")</f>
        <v>channel 2</v>
      </c>
    </row>
    <row r="21">
      <c r="B21" s="72" t="s">
        <v>1585</v>
      </c>
      <c r="C21" s="102" t="s">
        <v>494</v>
      </c>
      <c r="D21" s="74" t="s">
        <v>1586</v>
      </c>
      <c r="E21" s="13" t="str">
        <f>HYPERLINK("https://youtu.be/tn4xKVhkH80","channel 1")</f>
        <v>channel 1</v>
      </c>
    </row>
    <row r="22">
      <c r="B22" s="72" t="s">
        <v>8</v>
      </c>
      <c r="C22" s="18" t="s">
        <v>30</v>
      </c>
      <c r="D22" s="74" t="s">
        <v>1484</v>
      </c>
      <c r="E22" s="66" t="str">
        <f>HYPERLINK("https://youtu.be/5jGQbrAlgs4","channel 2")</f>
        <v>channel 2</v>
      </c>
    </row>
    <row r="23">
      <c r="B23" s="2" t="s">
        <v>41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1592</v>
      </c>
      <c r="C25" s="70" t="s">
        <v>74</v>
      </c>
      <c r="D25" s="71" t="s">
        <v>1593</v>
      </c>
      <c r="E25" s="13" t="str">
        <f>HYPERLINK("https://youtu.be/Ocgao9s_mUM","channel 1")</f>
        <v>channel 1</v>
      </c>
    </row>
    <row r="26">
      <c r="B26" s="72" t="s">
        <v>1594</v>
      </c>
      <c r="C26" s="73" t="s">
        <v>97</v>
      </c>
      <c r="D26" s="74" t="s">
        <v>1595</v>
      </c>
      <c r="E26" s="66" t="str">
        <f>HYPERLINK("https://youtu.be/HY-sXf8imX8","channel 2")</f>
        <v>channel 2</v>
      </c>
    </row>
    <row r="27">
      <c r="B27" s="72" t="s">
        <v>1273</v>
      </c>
      <c r="C27" s="73" t="s">
        <v>44</v>
      </c>
      <c r="D27" s="74" t="s">
        <v>1592</v>
      </c>
      <c r="E27" s="13" t="str">
        <f>HYPERLINK("https://youtu.be/EYSRgVROZ1c","channel 1")</f>
        <v>channel 1</v>
      </c>
    </row>
    <row r="28">
      <c r="B28" s="72" t="s">
        <v>1594</v>
      </c>
      <c r="C28" s="73" t="s">
        <v>160</v>
      </c>
      <c r="D28" s="74" t="s">
        <v>1593</v>
      </c>
      <c r="E28" s="66" t="str">
        <f>HYPERLINK("https://youtu.be/GQscTJzrnJA","channel 2")</f>
        <v>channel 2</v>
      </c>
    </row>
    <row r="29">
      <c r="B29" s="72" t="s">
        <v>1273</v>
      </c>
      <c r="C29" s="73" t="s">
        <v>141</v>
      </c>
      <c r="D29" s="74" t="s">
        <v>1595</v>
      </c>
      <c r="E29" s="13" t="str">
        <f>HYPERLINK("https://youtu.be/P9fOGUtgTkk","channel 1")</f>
        <v>channel 1</v>
      </c>
    </row>
    <row r="30">
      <c r="B30" s="72" t="s">
        <v>1594</v>
      </c>
      <c r="C30" s="73" t="s">
        <v>32</v>
      </c>
      <c r="D30" s="74" t="s">
        <v>1592</v>
      </c>
      <c r="E30" s="66" t="str">
        <f>HYPERLINK("https://youtu.be/r6-g1GgrxVU","channel 2")</f>
        <v>channel 2</v>
      </c>
    </row>
    <row r="31">
      <c r="B31" s="72" t="s">
        <v>1273</v>
      </c>
      <c r="C31" s="73" t="s">
        <v>87</v>
      </c>
      <c r="D31" s="74" t="s">
        <v>1593</v>
      </c>
      <c r="E31" s="13" t="str">
        <f>HYPERLINK("https://youtu.be/9v4qUtJTakU","channel 1")</f>
        <v>channel 1</v>
      </c>
    </row>
    <row r="32">
      <c r="B32" s="72" t="s">
        <v>1595</v>
      </c>
      <c r="C32" s="73" t="s">
        <v>141</v>
      </c>
      <c r="D32" s="74" t="s">
        <v>1592</v>
      </c>
      <c r="E32" s="66" t="str">
        <f>HYPERLINK("https://youtu.be/kE9cy5-Fnww","channel 2")</f>
        <v>channel 2</v>
      </c>
    </row>
    <row r="33">
      <c r="B33" s="72" t="s">
        <v>1273</v>
      </c>
      <c r="C33" s="73" t="s">
        <v>59</v>
      </c>
      <c r="D33" s="72" t="s">
        <v>1594</v>
      </c>
      <c r="E33" s="13" t="str">
        <f>HYPERLINK("https://youtu.be/FsQgYpaD0TA","channel 1")</f>
        <v>channel 1</v>
      </c>
    </row>
    <row r="34">
      <c r="B34" s="72" t="s">
        <v>1595</v>
      </c>
      <c r="C34" s="73" t="s">
        <v>56</v>
      </c>
      <c r="D34" s="74" t="s">
        <v>1593</v>
      </c>
      <c r="E34" s="66" t="str">
        <f>HYPERLINK("https://youtu.be/faqOSUqGRtI","channel 2")</f>
        <v>channel 2</v>
      </c>
    </row>
    <row r="35">
      <c r="B35" s="72" t="s">
        <v>1593</v>
      </c>
      <c r="C35" s="73" t="s">
        <v>214</v>
      </c>
      <c r="D35" s="74" t="s">
        <v>1592</v>
      </c>
      <c r="E35" s="13" t="str">
        <f>HYPERLINK("https://youtu.be/H54lmyUqPXA","channel 1")</f>
        <v>channel 1</v>
      </c>
    </row>
    <row r="36">
      <c r="B36" s="72" t="s">
        <v>1595</v>
      </c>
      <c r="C36" s="73" t="s">
        <v>103</v>
      </c>
      <c r="D36" s="72" t="s">
        <v>1594</v>
      </c>
      <c r="E36" s="66" t="str">
        <f>HYPERLINK("https://youtu.be/FQv0pZ_4cFU","channel 2")</f>
        <v>channel 2</v>
      </c>
    </row>
    <row r="37">
      <c r="B37" s="72" t="s">
        <v>1592</v>
      </c>
      <c r="C37" s="73" t="s">
        <v>18</v>
      </c>
      <c r="D37" s="74" t="s">
        <v>1273</v>
      </c>
      <c r="E37" s="13" t="str">
        <f>HYPERLINK("https://youtu.be/Vs4EV3x2ntg","channel 1")</f>
        <v>channel 1</v>
      </c>
    </row>
    <row r="38">
      <c r="B38" s="72" t="s">
        <v>1593</v>
      </c>
      <c r="C38" s="73" t="s">
        <v>106</v>
      </c>
      <c r="D38" s="72" t="s">
        <v>1594</v>
      </c>
      <c r="E38" s="66" t="str">
        <f>HYPERLINK("https://youtu.be/PVKfpZRp3yI","channel 2")</f>
        <v>channel 2</v>
      </c>
    </row>
    <row r="39">
      <c r="B39" s="72" t="s">
        <v>1595</v>
      </c>
      <c r="C39" s="73" t="s">
        <v>577</v>
      </c>
      <c r="D39" s="74" t="s">
        <v>1273</v>
      </c>
      <c r="E39" s="13" t="str">
        <f>HYPERLINK("https://youtu.be/dC5p6fwfDPw","channel 1")</f>
        <v>channel 1</v>
      </c>
    </row>
    <row r="40">
      <c r="B40" s="72" t="s">
        <v>1592</v>
      </c>
      <c r="C40" s="73" t="s">
        <v>193</v>
      </c>
      <c r="D40" s="72" t="s">
        <v>1594</v>
      </c>
      <c r="E40" s="66" t="str">
        <f>HYPERLINK("https://youtu.be/5ZQlqYnVfW4","channel 2")</f>
        <v>channel 2</v>
      </c>
    </row>
    <row r="41">
      <c r="B41" s="72" t="s">
        <v>1593</v>
      </c>
      <c r="C41" s="73" t="s">
        <v>135</v>
      </c>
      <c r="D41" s="74" t="s">
        <v>1273</v>
      </c>
      <c r="E41" s="13" t="str">
        <f>HYPERLINK("https://youtu.be/oJLxmqTnrbM","channel 1")</f>
        <v>channel 1</v>
      </c>
    </row>
    <row r="42">
      <c r="B42" s="72" t="s">
        <v>1592</v>
      </c>
      <c r="C42" s="73" t="s">
        <v>90</v>
      </c>
      <c r="D42" s="74" t="s">
        <v>1595</v>
      </c>
      <c r="E42" s="66" t="str">
        <f>HYPERLINK("https://youtu.be/r-6ptWH7hiI","channel 2")</f>
        <v>channel 2</v>
      </c>
    </row>
    <row r="43">
      <c r="B43" s="72" t="s">
        <v>1594</v>
      </c>
      <c r="C43" s="73" t="s">
        <v>319</v>
      </c>
      <c r="D43" s="74" t="s">
        <v>1273</v>
      </c>
      <c r="E43" s="13" t="str">
        <f>HYPERLINK("https://youtu.be/FD9I3RibcVg","channel 1")</f>
        <v>channel 1</v>
      </c>
    </row>
    <row r="44">
      <c r="B44" s="72" t="s">
        <v>1593</v>
      </c>
      <c r="C44" s="75" t="s">
        <v>281</v>
      </c>
      <c r="D44" s="74" t="s">
        <v>1595</v>
      </c>
      <c r="E44" s="66" t="str">
        <f>HYPERLINK("https://youtu.be/as6nzdKWUE8","channel 2")</f>
        <v>channel 2</v>
      </c>
    </row>
    <row r="45">
      <c r="B45" s="2" t="s">
        <v>202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1395</v>
      </c>
      <c r="C47" s="70" t="s">
        <v>193</v>
      </c>
      <c r="D47" s="71" t="s">
        <v>1502</v>
      </c>
      <c r="E47" s="13" t="str">
        <f>HYPERLINK("https://youtu.be/wgbr-WhRau4","channel 1")</f>
        <v>channel 1</v>
      </c>
    </row>
    <row r="48">
      <c r="B48" s="72" t="s">
        <v>833</v>
      </c>
      <c r="C48" s="73" t="s">
        <v>148</v>
      </c>
      <c r="D48" s="74" t="s">
        <v>652</v>
      </c>
      <c r="E48" s="66" t="str">
        <f>HYPERLINK("https://youtu.be/w5-L7nKxc8k","channel 2")</f>
        <v>channel 2</v>
      </c>
    </row>
    <row r="49">
      <c r="B49" s="72" t="s">
        <v>856</v>
      </c>
      <c r="C49" s="73" t="s">
        <v>405</v>
      </c>
      <c r="D49" s="74" t="s">
        <v>1395</v>
      </c>
      <c r="E49" s="13" t="str">
        <f>HYPERLINK("https://youtu.be/snw93MOpgS4","channel 1")</f>
        <v>channel 1</v>
      </c>
    </row>
    <row r="50">
      <c r="B50" s="72" t="s">
        <v>833</v>
      </c>
      <c r="C50" s="73" t="s">
        <v>281</v>
      </c>
      <c r="D50" s="74" t="s">
        <v>1502</v>
      </c>
      <c r="E50" s="66" t="str">
        <f>HYPERLINK("https://youtu.be/I4jbeUJRXm4","channel 2")</f>
        <v>channel 2</v>
      </c>
    </row>
    <row r="51">
      <c r="B51" s="72" t="s">
        <v>856</v>
      </c>
      <c r="C51" s="73" t="s">
        <v>309</v>
      </c>
      <c r="D51" s="74" t="s">
        <v>652</v>
      </c>
      <c r="E51" s="13" t="str">
        <f>HYPERLINK("https://youtu.be/gWsoPFIyiQo","channel 1")</f>
        <v>channel 1</v>
      </c>
    </row>
    <row r="52">
      <c r="B52" s="72" t="s">
        <v>833</v>
      </c>
      <c r="C52" s="73" t="s">
        <v>694</v>
      </c>
      <c r="D52" s="74" t="s">
        <v>1395</v>
      </c>
      <c r="E52" s="66" t="str">
        <f>HYPERLINK("https://youtu.be/szPnAkGEeDQ","channel 2")</f>
        <v>channel 2</v>
      </c>
    </row>
    <row r="53">
      <c r="B53" s="72" t="s">
        <v>856</v>
      </c>
      <c r="C53" s="73" t="s">
        <v>99</v>
      </c>
      <c r="D53" s="74" t="s">
        <v>1502</v>
      </c>
      <c r="E53" s="13" t="str">
        <f>HYPERLINK("https://youtu.be/bP-nBS7Y83I","channel 1")</f>
        <v>channel 1</v>
      </c>
    </row>
    <row r="54">
      <c r="B54" s="72" t="s">
        <v>652</v>
      </c>
      <c r="C54" s="73" t="s">
        <v>74</v>
      </c>
      <c r="D54" s="74" t="s">
        <v>1395</v>
      </c>
      <c r="E54" s="66" t="str">
        <f>HYPERLINK("https://youtu.be/kO6bIrRi5-Q","channel 2")</f>
        <v>channel 2</v>
      </c>
    </row>
    <row r="55">
      <c r="B55" s="72" t="s">
        <v>856</v>
      </c>
      <c r="C55" s="73" t="s">
        <v>49</v>
      </c>
      <c r="D55" s="74" t="s">
        <v>833</v>
      </c>
      <c r="E55" s="13" t="str">
        <f>HYPERLINK("https://youtu.be/433GRPfA7e0","channel 1")</f>
        <v>channel 1</v>
      </c>
    </row>
    <row r="56">
      <c r="B56" s="72" t="s">
        <v>652</v>
      </c>
      <c r="C56" s="73" t="s">
        <v>24</v>
      </c>
      <c r="D56" s="74" t="s">
        <v>1502</v>
      </c>
      <c r="E56" s="66" t="str">
        <f>HYPERLINK("https://youtu.be/VuJZUTOQ3yk","channel 2")</f>
        <v>channel 2</v>
      </c>
    </row>
    <row r="57">
      <c r="B57" s="72" t="s">
        <v>1502</v>
      </c>
      <c r="C57" s="73" t="s">
        <v>1216</v>
      </c>
      <c r="D57" s="74" t="s">
        <v>1395</v>
      </c>
      <c r="E57" s="13" t="str">
        <f>HYPERLINK("https://youtu.be/7Snrl1F4BlM","channel 1")</f>
        <v>channel 1</v>
      </c>
    </row>
    <row r="58">
      <c r="B58" s="72" t="s">
        <v>652</v>
      </c>
      <c r="C58" s="73" t="s">
        <v>46</v>
      </c>
      <c r="D58" s="74" t="s">
        <v>833</v>
      </c>
      <c r="E58" s="66" t="str">
        <f>HYPERLINK("https://youtu.be/hzNgRF3c9WA","channel 2")</f>
        <v>channel 2</v>
      </c>
    </row>
    <row r="59">
      <c r="B59" s="72" t="s">
        <v>1395</v>
      </c>
      <c r="C59" s="75" t="s">
        <v>30</v>
      </c>
      <c r="D59" s="74" t="s">
        <v>856</v>
      </c>
      <c r="E59" s="13" t="str">
        <f>HYPERLINK("https://youtu.be/aYbyJDFJ-T4","channel 1")</f>
        <v>channel 1</v>
      </c>
    </row>
    <row r="60">
      <c r="B60" s="100" t="s">
        <v>1502</v>
      </c>
      <c r="C60" s="75" t="s">
        <v>675</v>
      </c>
      <c r="D60" s="74" t="s">
        <v>833</v>
      </c>
      <c r="E60" s="66" t="str">
        <f>HYPERLINK("https://youtu.be/lxvjLFSGXV0","channel 2")</f>
        <v>channel 2</v>
      </c>
    </row>
    <row r="61">
      <c r="B61" s="72" t="s">
        <v>652</v>
      </c>
      <c r="C61" s="75" t="s">
        <v>383</v>
      </c>
      <c r="D61" s="74" t="s">
        <v>856</v>
      </c>
      <c r="E61" s="13" t="str">
        <f>HYPERLINK("https://youtu.be/pTSEfMt2A1g","channel 1")</f>
        <v>channel 1</v>
      </c>
    </row>
    <row r="62">
      <c r="B62" s="72" t="s">
        <v>1395</v>
      </c>
      <c r="C62" s="75" t="s">
        <v>33</v>
      </c>
      <c r="D62" s="74" t="s">
        <v>833</v>
      </c>
      <c r="E62" s="66" t="str">
        <f>HYPERLINK("https://youtu.be/E2cGXTGVGkI","channel 2")</f>
        <v>channel 2</v>
      </c>
    </row>
    <row r="63">
      <c r="B63" s="72" t="s">
        <v>1502</v>
      </c>
      <c r="C63" s="75" t="s">
        <v>46</v>
      </c>
      <c r="D63" s="74" t="s">
        <v>856</v>
      </c>
      <c r="E63" s="13" t="str">
        <f>HYPERLINK("https://youtu.be/8QPgJ4m2F7c","channel 1")</f>
        <v>channel 1</v>
      </c>
    </row>
    <row r="64">
      <c r="B64" s="72" t="s">
        <v>1395</v>
      </c>
      <c r="C64" s="75" t="s">
        <v>46</v>
      </c>
      <c r="D64" s="74" t="s">
        <v>652</v>
      </c>
      <c r="E64" s="66" t="str">
        <f>HYPERLINK("https://youtu.be/pWjBMK7Mv8Q","channel 2")</f>
        <v>channel 2</v>
      </c>
    </row>
    <row r="65">
      <c r="B65" s="72" t="s">
        <v>833</v>
      </c>
      <c r="C65" s="75" t="s">
        <v>116</v>
      </c>
      <c r="D65" s="74" t="s">
        <v>856</v>
      </c>
      <c r="E65" s="13" t="str">
        <f>HYPERLINK("https://youtu.be/0u9dQMRcrng","channel 1")</f>
        <v>channel 1</v>
      </c>
    </row>
    <row r="66">
      <c r="B66" s="72" t="s">
        <v>1502</v>
      </c>
      <c r="C66" s="75" t="s">
        <v>135</v>
      </c>
      <c r="D66" s="74" t="s">
        <v>652</v>
      </c>
      <c r="E66" s="66" t="str">
        <f>HYPERLINK("https://youtu.be/Cuq_38sPy3M","channel 2")</f>
        <v>channel 2</v>
      </c>
    </row>
    <row r="67">
      <c r="B67" s="2" t="s">
        <v>1235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1604</v>
      </c>
      <c r="C69" s="70" t="s">
        <v>1605</v>
      </c>
      <c r="D69" s="71" t="s">
        <v>1334</v>
      </c>
      <c r="E69" s="13" t="str">
        <f>HYPERLINK("https://youtu.be/fY3NEOYON5k","channel 1")</f>
        <v>channel 1</v>
      </c>
    </row>
    <row r="70">
      <c r="B70" s="72" t="s">
        <v>1179</v>
      </c>
      <c r="C70" s="73" t="s">
        <v>141</v>
      </c>
      <c r="D70" s="74" t="s">
        <v>1606</v>
      </c>
      <c r="E70" s="66" t="str">
        <f>HYPERLINK("https://youtu.be/aFzaegVVymo","channel 2")</f>
        <v>channel 2</v>
      </c>
    </row>
    <row r="71">
      <c r="B71" s="72" t="s">
        <v>1607</v>
      </c>
      <c r="C71" s="73" t="s">
        <v>191</v>
      </c>
      <c r="D71" s="74" t="s">
        <v>1604</v>
      </c>
      <c r="E71" s="13" t="str">
        <f>HYPERLINK("https://youtu.be/IfcQ2zhELL4","channel 1")</f>
        <v>channel 1</v>
      </c>
    </row>
    <row r="72">
      <c r="B72" s="72" t="s">
        <v>1179</v>
      </c>
      <c r="C72" s="73" t="s">
        <v>553</v>
      </c>
      <c r="D72" s="74" t="s">
        <v>1334</v>
      </c>
      <c r="E72" s="66" t="str">
        <f>HYPERLINK("https://youtu.be/qzatxj0f01U","channel 2")</f>
        <v>channel 2</v>
      </c>
    </row>
    <row r="73">
      <c r="B73" s="72" t="s">
        <v>1607</v>
      </c>
      <c r="C73" s="73" t="s">
        <v>281</v>
      </c>
      <c r="D73" s="74" t="s">
        <v>1606</v>
      </c>
      <c r="E73" s="13" t="str">
        <f>HYPERLINK("https://youtu.be/yBZsTCx79t0","channel 1")</f>
        <v>channel 1</v>
      </c>
    </row>
    <row r="74">
      <c r="B74" s="72" t="s">
        <v>1179</v>
      </c>
      <c r="C74" s="73" t="s">
        <v>191</v>
      </c>
      <c r="D74" s="74" t="s">
        <v>1604</v>
      </c>
      <c r="E74" s="66" t="str">
        <f>HYPERLINK("https://youtu.be/cBaanHC2gAc","channel 2")</f>
        <v>channel 2</v>
      </c>
    </row>
    <row r="75">
      <c r="B75" s="72" t="s">
        <v>1607</v>
      </c>
      <c r="C75" s="73" t="s">
        <v>42</v>
      </c>
      <c r="D75" s="74" t="s">
        <v>1334</v>
      </c>
      <c r="E75" s="13" t="str">
        <f>HYPERLINK("https://youtu.be/v4cIrlD5YyU","channel 1")</f>
        <v>channel 1</v>
      </c>
    </row>
    <row r="76">
      <c r="B76" s="72" t="s">
        <v>1606</v>
      </c>
      <c r="C76" s="73" t="s">
        <v>225</v>
      </c>
      <c r="D76" s="74" t="s">
        <v>1604</v>
      </c>
      <c r="E76" s="66" t="str">
        <f>HYPERLINK("https://youtu.be/P4HZy8uwIh4","channel 2")</f>
        <v>channel 2</v>
      </c>
    </row>
    <row r="77">
      <c r="B77" s="72" t="s">
        <v>1607</v>
      </c>
      <c r="C77" s="73" t="s">
        <v>117</v>
      </c>
      <c r="D77" s="74" t="s">
        <v>1179</v>
      </c>
      <c r="E77" s="13" t="str">
        <f>HYPERLINK("https://youtu.be/tZqzAPbpgMo","channel 1")</f>
        <v>channel 1</v>
      </c>
    </row>
    <row r="78">
      <c r="B78" s="72" t="s">
        <v>1606</v>
      </c>
      <c r="C78" s="73" t="s">
        <v>911</v>
      </c>
      <c r="D78" s="74" t="s">
        <v>1334</v>
      </c>
      <c r="E78" s="66" t="str">
        <f>HYPERLINK("https://youtu.be/yEITN9pQkFQ","channel 2")</f>
        <v>channel 2</v>
      </c>
    </row>
    <row r="79">
      <c r="B79" s="72" t="s">
        <v>1334</v>
      </c>
      <c r="C79" s="73" t="s">
        <v>226</v>
      </c>
      <c r="D79" s="74" t="s">
        <v>1604</v>
      </c>
      <c r="E79" s="13" t="str">
        <f>HYPERLINK("https://youtu.be/35Wwm9kE9j4","channel 1")</f>
        <v>channel 1</v>
      </c>
    </row>
    <row r="80">
      <c r="B80" s="72" t="s">
        <v>1606</v>
      </c>
      <c r="C80" s="73" t="s">
        <v>11</v>
      </c>
      <c r="D80" s="74" t="s">
        <v>1179</v>
      </c>
      <c r="E80" s="66" t="str">
        <f>HYPERLINK("https://youtu.be/mmjDvv5-eeI","channel 2")</f>
        <v>channel 2</v>
      </c>
    </row>
    <row r="81">
      <c r="B81" s="72" t="s">
        <v>1604</v>
      </c>
      <c r="C81" s="75" t="s">
        <v>319</v>
      </c>
      <c r="D81" s="74" t="s">
        <v>1607</v>
      </c>
      <c r="E81" s="13" t="str">
        <f>HYPERLINK("https://youtu.be/oXjvXibFYmA","channel 1")</f>
        <v>channel 1</v>
      </c>
    </row>
    <row r="82">
      <c r="B82" s="100" t="s">
        <v>1334</v>
      </c>
      <c r="C82" s="75" t="s">
        <v>801</v>
      </c>
      <c r="D82" s="74" t="s">
        <v>1179</v>
      </c>
      <c r="E82" s="66" t="str">
        <f>HYPERLINK("https://youtu.be/_pSDD25hFUY","channel 2")</f>
        <v>channel 2</v>
      </c>
    </row>
    <row r="83">
      <c r="B83" s="72" t="s">
        <v>1606</v>
      </c>
      <c r="C83" s="75" t="s">
        <v>337</v>
      </c>
      <c r="D83" s="74" t="s">
        <v>1607</v>
      </c>
      <c r="E83" s="13" t="str">
        <f>HYPERLINK("https://youtu.be/z6Qx8viBrFk","channel 1")</f>
        <v>channel 1</v>
      </c>
    </row>
    <row r="84">
      <c r="B84" s="72" t="s">
        <v>1604</v>
      </c>
      <c r="C84" s="75" t="s">
        <v>883</v>
      </c>
      <c r="D84" s="74" t="s">
        <v>1179</v>
      </c>
      <c r="E84" s="66" t="str">
        <f>HYPERLINK("https://youtu.be/P7KSvklQZ7A","channel 2")</f>
        <v>channel 2</v>
      </c>
    </row>
    <row r="85">
      <c r="B85" s="72" t="s">
        <v>1334</v>
      </c>
      <c r="C85" s="75" t="s">
        <v>10</v>
      </c>
      <c r="D85" s="74" t="s">
        <v>1607</v>
      </c>
      <c r="E85" s="13" t="str">
        <f>HYPERLINK("https://youtu.be/COjPXNkLBZ4","channel 1")</f>
        <v>channel 1</v>
      </c>
    </row>
    <row r="86">
      <c r="B86" s="72" t="s">
        <v>1604</v>
      </c>
      <c r="C86" s="75" t="s">
        <v>49</v>
      </c>
      <c r="D86" s="74" t="s">
        <v>1606</v>
      </c>
      <c r="E86" s="66" t="str">
        <f>HYPERLINK("https://youtu.be/8ZYqhTC_iVs","channel 2")</f>
        <v>channel 2</v>
      </c>
    </row>
    <row r="87">
      <c r="B87" s="72" t="s">
        <v>1179</v>
      </c>
      <c r="C87" s="75" t="s">
        <v>99</v>
      </c>
      <c r="D87" s="74" t="s">
        <v>1607</v>
      </c>
      <c r="E87" s="13" t="str">
        <f>HYPERLINK("https://youtu.be/aqxSc1FE8sE","channel 1")</f>
        <v>channel 1</v>
      </c>
    </row>
    <row r="88">
      <c r="B88" s="72" t="s">
        <v>1334</v>
      </c>
      <c r="C88" s="75" t="s">
        <v>37</v>
      </c>
      <c r="D88" s="74" t="s">
        <v>1606</v>
      </c>
      <c r="E88" s="66" t="str">
        <f>HYPERLINK("https://youtu.be/7OIQpVikyis","channel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1378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1184</v>
      </c>
      <c r="C3" s="70" t="s">
        <v>24</v>
      </c>
      <c r="D3" s="71" t="s">
        <v>1608</v>
      </c>
      <c r="E3" s="103" t="str">
        <f>HYPERLINK("https://youtu.be/0CfMvRIQ-c0","channel 1")</f>
        <v>channel 1</v>
      </c>
    </row>
    <row r="4">
      <c r="B4" s="72" t="s">
        <v>1609</v>
      </c>
      <c r="C4" s="73" t="s">
        <v>46</v>
      </c>
      <c r="D4" s="74" t="s">
        <v>930</v>
      </c>
      <c r="E4" s="103" t="str">
        <f>HYPERLINK("https://youtu.be/hhtPQOa_72s","channel 2")</f>
        <v>channel 2</v>
      </c>
    </row>
    <row r="5">
      <c r="B5" s="72" t="s">
        <v>1610</v>
      </c>
      <c r="C5" s="73" t="s">
        <v>145</v>
      </c>
      <c r="D5" s="74" t="s">
        <v>1184</v>
      </c>
      <c r="E5" s="103" t="str">
        <f>HYPERLINK("https://youtu.be/S5PojSeZp8k","channel 1")</f>
        <v>channel 1</v>
      </c>
    </row>
    <row r="6">
      <c r="B6" s="72" t="s">
        <v>1609</v>
      </c>
      <c r="C6" s="73" t="s">
        <v>148</v>
      </c>
      <c r="D6" s="74" t="s">
        <v>1608</v>
      </c>
      <c r="E6" s="103" t="str">
        <f>HYPERLINK("https://youtu.be/drE1WdzoEL0","channel 2")</f>
        <v>channel 2</v>
      </c>
    </row>
    <row r="7">
      <c r="B7" s="72" t="s">
        <v>1610</v>
      </c>
      <c r="C7" s="73" t="s">
        <v>32</v>
      </c>
      <c r="D7" s="74" t="s">
        <v>930</v>
      </c>
      <c r="E7" s="103" t="str">
        <f>HYPERLINK("https://youtu.be/z8cA2p2bins","channel 1")</f>
        <v>channel 1</v>
      </c>
    </row>
    <row r="8">
      <c r="B8" s="72" t="s">
        <v>1609</v>
      </c>
      <c r="C8" s="73" t="s">
        <v>59</v>
      </c>
      <c r="D8" s="74" t="s">
        <v>1184</v>
      </c>
      <c r="E8" s="103" t="str">
        <f>HYPERLINK("https://youtu.be/YsqUPNhQHxY","channel 2")</f>
        <v>channel 2</v>
      </c>
    </row>
    <row r="9">
      <c r="B9" s="72" t="s">
        <v>1610</v>
      </c>
      <c r="C9" s="73" t="s">
        <v>56</v>
      </c>
      <c r="D9" s="74" t="s">
        <v>1608</v>
      </c>
      <c r="E9" s="103" t="str">
        <f>HYPERLINK("https://youtu.be/a5b876CvjEU","channel 1")</f>
        <v>channel 1</v>
      </c>
    </row>
    <row r="10">
      <c r="B10" s="72" t="s">
        <v>930</v>
      </c>
      <c r="C10" s="73" t="s">
        <v>47</v>
      </c>
      <c r="D10" s="74" t="s">
        <v>1184</v>
      </c>
      <c r="E10" s="103" t="str">
        <f>HYPERLINK("https://youtu.be/6Sfp4ft_8ho","channel 2")</f>
        <v>channel 2</v>
      </c>
    </row>
    <row r="11">
      <c r="B11" s="72" t="s">
        <v>1610</v>
      </c>
      <c r="C11" s="73" t="s">
        <v>297</v>
      </c>
      <c r="D11" s="74" t="s">
        <v>1609</v>
      </c>
      <c r="E11" s="103" t="str">
        <f>HYPERLINK("https://youtu.be/-40KSXrJpM4","channel 1")</f>
        <v>channel 1</v>
      </c>
    </row>
    <row r="12">
      <c r="B12" s="72" t="s">
        <v>930</v>
      </c>
      <c r="C12" s="73" t="s">
        <v>157</v>
      </c>
      <c r="D12" s="74" t="s">
        <v>1608</v>
      </c>
      <c r="E12" s="103" t="str">
        <f>HYPERLINK("https://youtu.be/qFcrFbbi4xM","channel 2")</f>
        <v>channel 2</v>
      </c>
    </row>
    <row r="13">
      <c r="B13" s="72" t="s">
        <v>1608</v>
      </c>
      <c r="C13" s="73" t="s">
        <v>337</v>
      </c>
      <c r="D13" s="74" t="s">
        <v>1184</v>
      </c>
      <c r="E13" s="103" t="str">
        <f>HYPERLINK("https://youtu.be/ybGn7Gvt4n0","channel 1")</f>
        <v>channel 1</v>
      </c>
    </row>
    <row r="14">
      <c r="B14" s="72" t="s">
        <v>930</v>
      </c>
      <c r="C14" s="73" t="s">
        <v>89</v>
      </c>
      <c r="D14" s="74" t="s">
        <v>1609</v>
      </c>
      <c r="E14" s="103" t="str">
        <f>HYPERLINK("https://youtu.be/AWCXJFjrkCU","channel 2")</f>
        <v>channel 2</v>
      </c>
    </row>
    <row r="15">
      <c r="B15" s="72" t="s">
        <v>1184</v>
      </c>
      <c r="C15" s="75" t="s">
        <v>278</v>
      </c>
      <c r="D15" s="74" t="s">
        <v>1610</v>
      </c>
      <c r="E15" s="103" t="str">
        <f>HYPERLINK("https://youtu.be/jvU-PTTtekM","channel 1")</f>
        <v>channel 1</v>
      </c>
    </row>
    <row r="16">
      <c r="B16" s="72" t="s">
        <v>1608</v>
      </c>
      <c r="C16" s="75" t="s">
        <v>90</v>
      </c>
      <c r="D16" s="74" t="s">
        <v>1609</v>
      </c>
      <c r="E16" s="103" t="str">
        <f>HYPERLINK("https://youtu.be/lbFQc_h8_hM","channel 2")</f>
        <v>channel 2</v>
      </c>
    </row>
    <row r="17">
      <c r="B17" s="72" t="s">
        <v>930</v>
      </c>
      <c r="C17" s="75" t="s">
        <v>477</v>
      </c>
      <c r="D17" s="74" t="s">
        <v>1610</v>
      </c>
      <c r="E17" s="103" t="str">
        <f>HYPERLINK("https://youtu.be/hHqsVTa7JlM","channel 1")</f>
        <v>channel 1</v>
      </c>
    </row>
    <row r="18">
      <c r="B18" s="72" t="s">
        <v>1184</v>
      </c>
      <c r="C18" s="75" t="s">
        <v>27</v>
      </c>
      <c r="D18" s="74" t="s">
        <v>1609</v>
      </c>
      <c r="E18" s="103" t="str">
        <f>HYPERLINK("https://youtu.be/5zJuUJChHx8","channel 2")</f>
        <v>channel 2</v>
      </c>
    </row>
    <row r="19">
      <c r="B19" s="72" t="s">
        <v>1608</v>
      </c>
      <c r="C19" s="75" t="s">
        <v>310</v>
      </c>
      <c r="D19" s="74" t="s">
        <v>1610</v>
      </c>
      <c r="E19" s="103" t="str">
        <f>HYPERLINK("https://youtu.be/yJhEm0G9aRs","channel 1")</f>
        <v>channel 1</v>
      </c>
    </row>
    <row r="20">
      <c r="B20" s="72" t="s">
        <v>1184</v>
      </c>
      <c r="C20" s="75" t="s">
        <v>27</v>
      </c>
      <c r="D20" s="74" t="s">
        <v>930</v>
      </c>
      <c r="E20" s="103" t="str">
        <f>HYPERLINK("https://youtu.be/IuNMs-zT_lg","channel 2")</f>
        <v>channel 2</v>
      </c>
    </row>
    <row r="21">
      <c r="B21" s="72" t="s">
        <v>1609</v>
      </c>
      <c r="C21" s="75" t="s">
        <v>754</v>
      </c>
      <c r="D21" s="74" t="s">
        <v>1610</v>
      </c>
      <c r="E21" s="103" t="str">
        <f>HYPERLINK("https://youtu.be/0hsO4WgtTzI","channel 1")</f>
        <v>channel 1</v>
      </c>
    </row>
    <row r="22">
      <c r="B22" s="72" t="s">
        <v>1608</v>
      </c>
      <c r="C22" s="75" t="s">
        <v>145</v>
      </c>
      <c r="D22" s="74" t="s">
        <v>930</v>
      </c>
      <c r="E22" s="103" t="str">
        <f>HYPERLINK("https://youtu.be/MXUIC8CK3JA","channel 2")</f>
        <v>channel 2</v>
      </c>
    </row>
    <row r="23">
      <c r="B23" s="2" t="s">
        <v>1337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1611</v>
      </c>
      <c r="C25" s="70" t="s">
        <v>10</v>
      </c>
      <c r="D25" s="71" t="s">
        <v>1612</v>
      </c>
      <c r="E25" s="103" t="str">
        <f>HYPERLINK("https://youtu.be/R4y3CYHHG1A","channel 1")</f>
        <v>channel 1</v>
      </c>
    </row>
    <row r="26">
      <c r="B26" s="72" t="s">
        <v>1613</v>
      </c>
      <c r="C26" s="73" t="s">
        <v>296</v>
      </c>
      <c r="D26" s="74" t="s">
        <v>1614</v>
      </c>
      <c r="E26" s="103" t="str">
        <f>HYPERLINK("https://youtu.be/55JQ0AxC3vw","channel 2")</f>
        <v>channel 2</v>
      </c>
    </row>
    <row r="27">
      <c r="B27" s="72" t="s">
        <v>1615</v>
      </c>
      <c r="C27" s="73" t="s">
        <v>32</v>
      </c>
      <c r="D27" s="74" t="s">
        <v>1611</v>
      </c>
      <c r="E27" s="103" t="str">
        <f>HYPERLINK("https://youtu.be/ILUsq8IjxQY","channel 1")</f>
        <v>channel 1</v>
      </c>
    </row>
    <row r="28">
      <c r="B28" s="72" t="s">
        <v>1613</v>
      </c>
      <c r="C28" s="73" t="s">
        <v>93</v>
      </c>
      <c r="D28" s="74" t="s">
        <v>1612</v>
      </c>
      <c r="E28" s="103" t="str">
        <f>HYPERLINK("https://youtu.be/GboIgubwUCA","channel 2")</f>
        <v>channel 2</v>
      </c>
    </row>
    <row r="29">
      <c r="B29" s="72" t="s">
        <v>1615</v>
      </c>
      <c r="C29" s="73" t="s">
        <v>34</v>
      </c>
      <c r="D29" s="74" t="s">
        <v>1614</v>
      </c>
      <c r="E29" s="103" t="str">
        <f>HYPERLINK("https://youtu.be/Nd07ja6HKbE","channel 1")</f>
        <v>channel 1</v>
      </c>
    </row>
    <row r="30">
      <c r="B30" s="72" t="s">
        <v>1613</v>
      </c>
      <c r="C30" s="73" t="s">
        <v>89</v>
      </c>
      <c r="D30" s="74" t="s">
        <v>1611</v>
      </c>
      <c r="E30" s="103" t="str">
        <f>HYPERLINK("https://youtu.be/1KGgrfsPLOc","channel 2")</f>
        <v>channel 2</v>
      </c>
    </row>
    <row r="31">
      <c r="B31" s="72" t="s">
        <v>1615</v>
      </c>
      <c r="C31" s="73" t="s">
        <v>241</v>
      </c>
      <c r="D31" s="74" t="s">
        <v>1612</v>
      </c>
      <c r="E31" s="103" t="str">
        <f>HYPERLINK("https://youtu.be/3YRCxEUu-8o","channel 1")</f>
        <v>channel 1</v>
      </c>
    </row>
    <row r="32">
      <c r="B32" s="72" t="s">
        <v>1614</v>
      </c>
      <c r="C32" s="73" t="s">
        <v>337</v>
      </c>
      <c r="D32" s="74" t="s">
        <v>1611</v>
      </c>
      <c r="E32" s="103" t="str">
        <f>HYPERLINK("https://youtu.be/j_0v6vQn7ME","channel 2")</f>
        <v>channel 2</v>
      </c>
    </row>
    <row r="33">
      <c r="B33" s="72" t="s">
        <v>1615</v>
      </c>
      <c r="C33" s="73" t="s">
        <v>1616</v>
      </c>
      <c r="D33" s="74" t="s">
        <v>1613</v>
      </c>
      <c r="E33" s="103" t="str">
        <f>HYPERLINK("https://youtu.be/j08HpPtERcQ","channel 1")</f>
        <v>channel 1</v>
      </c>
    </row>
    <row r="34">
      <c r="B34" s="72" t="s">
        <v>1614</v>
      </c>
      <c r="C34" s="73" t="s">
        <v>10</v>
      </c>
      <c r="D34" s="74" t="s">
        <v>1612</v>
      </c>
      <c r="E34" s="103" t="str">
        <f>HYPERLINK("https://youtu.be/VgWqvCYroqY","channel 2")</f>
        <v>channel 2</v>
      </c>
    </row>
    <row r="35">
      <c r="B35" s="72" t="s">
        <v>1612</v>
      </c>
      <c r="C35" s="73" t="s">
        <v>18</v>
      </c>
      <c r="D35" s="74" t="s">
        <v>1611</v>
      </c>
      <c r="E35" s="103" t="str">
        <f>HYPERLINK("https://youtu.be/ipfwjvIQaY8","channel 1")</f>
        <v>channel 1</v>
      </c>
    </row>
    <row r="36">
      <c r="B36" s="72" t="s">
        <v>1614</v>
      </c>
      <c r="C36" s="73" t="s">
        <v>10</v>
      </c>
      <c r="D36" s="74" t="s">
        <v>1613</v>
      </c>
      <c r="E36" s="103" t="str">
        <f>HYPERLINK("https://youtu.be/2HMaainz7XE","channel 2")</f>
        <v>channel 2</v>
      </c>
    </row>
    <row r="37">
      <c r="B37" s="72" t="s">
        <v>1611</v>
      </c>
      <c r="C37" s="75" t="s">
        <v>38</v>
      </c>
      <c r="D37" s="74" t="s">
        <v>1615</v>
      </c>
      <c r="E37" s="103" t="str">
        <f>HYPERLINK("https://youtu.be/iE5IY9azbXg","channel 1")</f>
        <v>channel 1</v>
      </c>
    </row>
    <row r="38">
      <c r="B38" s="72" t="s">
        <v>1612</v>
      </c>
      <c r="C38" s="75" t="s">
        <v>56</v>
      </c>
      <c r="D38" s="74" t="s">
        <v>1613</v>
      </c>
      <c r="E38" s="103" t="str">
        <f>HYPERLINK("https://youtu.be/Fo_tsrWiJPE","channel 2")</f>
        <v>channel 2</v>
      </c>
    </row>
    <row r="39">
      <c r="B39" s="72" t="s">
        <v>1614</v>
      </c>
      <c r="C39" s="75" t="s">
        <v>143</v>
      </c>
      <c r="D39" s="74" t="s">
        <v>1615</v>
      </c>
      <c r="E39" s="103" t="str">
        <f>HYPERLINK("https://youtu.be/WOJR_4kyxEA","channel 1")</f>
        <v>channel 1</v>
      </c>
    </row>
    <row r="40">
      <c r="B40" s="72" t="s">
        <v>1611</v>
      </c>
      <c r="C40" s="75" t="s">
        <v>332</v>
      </c>
      <c r="D40" s="74" t="s">
        <v>1613</v>
      </c>
      <c r="E40" s="103" t="str">
        <f>HYPERLINK("https://youtu.be/xZ4e3qFs8yw","channel 2")</f>
        <v>channel 2</v>
      </c>
    </row>
    <row r="41">
      <c r="B41" s="72" t="s">
        <v>1612</v>
      </c>
      <c r="C41" s="75" t="s">
        <v>179</v>
      </c>
      <c r="D41" s="74" t="s">
        <v>1615</v>
      </c>
      <c r="E41" s="103" t="str">
        <f>HYPERLINK("https://youtu.be/J2Pd85P1c_o","channel 1")</f>
        <v>channel 1</v>
      </c>
    </row>
    <row r="42">
      <c r="B42" s="72" t="s">
        <v>1611</v>
      </c>
      <c r="C42" s="75" t="s">
        <v>32</v>
      </c>
      <c r="D42" s="74" t="s">
        <v>1614</v>
      </c>
      <c r="E42" s="103" t="str">
        <f>HYPERLINK("https://youtu.be/AgY-JLgAv4Y","channel 2")</f>
        <v>channel 2</v>
      </c>
    </row>
    <row r="43">
      <c r="B43" s="72" t="s">
        <v>1613</v>
      </c>
      <c r="C43" s="75" t="s">
        <v>33</v>
      </c>
      <c r="D43" s="74" t="s">
        <v>1615</v>
      </c>
      <c r="E43" s="103" t="str">
        <f>HYPERLINK("https://youtu.be/WRMTy6HCuEA","channel 1")</f>
        <v>channel 1</v>
      </c>
    </row>
    <row r="44">
      <c r="B44" s="72" t="s">
        <v>1612</v>
      </c>
      <c r="C44" s="75" t="s">
        <v>1542</v>
      </c>
      <c r="D44" s="74" t="s">
        <v>1614</v>
      </c>
      <c r="E44" s="103" t="str">
        <f>HYPERLINK("https://youtu.be/dDwRVZQOpiA","channel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702</v>
      </c>
      <c r="C3" s="12" t="s">
        <v>436</v>
      </c>
      <c r="D3" s="10" t="s">
        <v>1443</v>
      </c>
      <c r="E3" s="103" t="str">
        <f>HYPERLINK("https://youtu.be/m19vsPvC2rs","channel 1")</f>
        <v>channel 1</v>
      </c>
    </row>
    <row r="4">
      <c r="B4" s="10" t="s">
        <v>1618</v>
      </c>
      <c r="C4" s="12" t="s">
        <v>103</v>
      </c>
      <c r="D4" s="10" t="s">
        <v>1620</v>
      </c>
      <c r="E4" s="103" t="str">
        <f>HYPERLINK("https://youtu.be/-pAKTiukK1w","channel 2")</f>
        <v>channel 2</v>
      </c>
    </row>
    <row r="5">
      <c r="B5" s="10" t="s">
        <v>120</v>
      </c>
      <c r="C5" s="12" t="s">
        <v>616</v>
      </c>
      <c r="D5" s="10" t="s">
        <v>702</v>
      </c>
      <c r="E5" s="103" t="str">
        <f>HYPERLINK("https://youtu.be/-KOi6nlhpFE","channel 1")</f>
        <v>channel 1</v>
      </c>
    </row>
    <row r="6">
      <c r="B6" s="10" t="s">
        <v>1618</v>
      </c>
      <c r="C6" s="12" t="s">
        <v>232</v>
      </c>
      <c r="D6" s="10" t="s">
        <v>1443</v>
      </c>
      <c r="E6" s="103" t="str">
        <f>HYPERLINK("https://youtu.be/h7EfaIyZdaw","channel 2")</f>
        <v>channel 2</v>
      </c>
    </row>
    <row r="7">
      <c r="B7" s="10" t="s">
        <v>120</v>
      </c>
      <c r="C7" s="12" t="s">
        <v>97</v>
      </c>
      <c r="D7" s="10" t="s">
        <v>1620</v>
      </c>
      <c r="E7" s="103" t="str">
        <f>HYPERLINK("https://youtu.be/QpOo2sDdY24","channel 1")</f>
        <v>channel 1</v>
      </c>
    </row>
    <row r="8">
      <c r="B8" s="10" t="s">
        <v>1618</v>
      </c>
      <c r="C8" s="12" t="s">
        <v>538</v>
      </c>
      <c r="D8" s="10" t="s">
        <v>702</v>
      </c>
      <c r="E8" s="103" t="str">
        <f>HYPERLINK("https://youtu.be/uJG_cvqOALs","channel 2")</f>
        <v>channel 2</v>
      </c>
    </row>
    <row r="9">
      <c r="B9" s="10" t="s">
        <v>120</v>
      </c>
      <c r="C9" s="12" t="s">
        <v>281</v>
      </c>
      <c r="D9" s="10" t="s">
        <v>1443</v>
      </c>
      <c r="E9" s="103" t="str">
        <f>HYPERLINK("https://youtu.be/aAndUAvVp2c","channel 1")</f>
        <v>channel 1</v>
      </c>
    </row>
    <row r="10">
      <c r="B10" s="10" t="s">
        <v>1620</v>
      </c>
      <c r="C10" s="12" t="s">
        <v>38</v>
      </c>
      <c r="D10" s="10" t="s">
        <v>702</v>
      </c>
      <c r="E10" s="103" t="str">
        <f>HYPERLINK("https://youtu.be/oucWkBkXfBQ","channel 2")</f>
        <v>channel 2</v>
      </c>
    </row>
    <row r="11">
      <c r="B11" s="10" t="s">
        <v>120</v>
      </c>
      <c r="C11" s="12" t="s">
        <v>85</v>
      </c>
      <c r="D11" s="10" t="s">
        <v>1618</v>
      </c>
      <c r="E11" s="103" t="str">
        <f>HYPERLINK("https://youtu.be/dUfdL4Nn4MQ","channel 1")</f>
        <v>channel 1</v>
      </c>
    </row>
    <row r="12">
      <c r="B12" s="10" t="s">
        <v>1620</v>
      </c>
      <c r="C12" s="12" t="s">
        <v>179</v>
      </c>
      <c r="D12" s="10" t="s">
        <v>1443</v>
      </c>
      <c r="E12" s="103" t="str">
        <f>HYPERLINK("https://youtu.be/pYOiY851hz0","channel 2")</f>
        <v>channel 2</v>
      </c>
    </row>
    <row r="13">
      <c r="B13" s="10" t="s">
        <v>1443</v>
      </c>
      <c r="C13" s="12" t="s">
        <v>494</v>
      </c>
      <c r="D13" s="10" t="s">
        <v>702</v>
      </c>
      <c r="E13" s="103" t="str">
        <f>HYPERLINK("https://youtu.be/Z_fYYk_qYTk","channel 1")</f>
        <v>channel 1</v>
      </c>
    </row>
    <row r="14">
      <c r="B14" s="10" t="s">
        <v>1620</v>
      </c>
      <c r="C14" s="12" t="s">
        <v>124</v>
      </c>
      <c r="D14" s="10" t="s">
        <v>1618</v>
      </c>
      <c r="E14" s="103" t="str">
        <f>HYPERLINK("https://youtu.be/IcIWG9fIXOo","channel 2")</f>
        <v>channel 2</v>
      </c>
    </row>
    <row r="15">
      <c r="B15" s="10" t="s">
        <v>702</v>
      </c>
      <c r="C15" s="18" t="s">
        <v>383</v>
      </c>
      <c r="D15" s="10" t="s">
        <v>120</v>
      </c>
      <c r="E15" s="103" t="str">
        <f>HYPERLINK("https://youtu.be/Xb9QEgxpvRQ","channel 1")</f>
        <v>channel 1</v>
      </c>
    </row>
    <row r="16">
      <c r="B16" s="104" t="s">
        <v>1443</v>
      </c>
      <c r="C16" s="18" t="s">
        <v>1623</v>
      </c>
      <c r="D16" s="10" t="s">
        <v>1618</v>
      </c>
      <c r="E16" s="103" t="str">
        <f>HYPERLINK("https://youtu.be/gggizlGSr8Q","channel 2")</f>
        <v>channel 2</v>
      </c>
    </row>
    <row r="17">
      <c r="B17" s="10" t="s">
        <v>1620</v>
      </c>
      <c r="C17" s="18" t="s">
        <v>108</v>
      </c>
      <c r="D17" s="10" t="s">
        <v>120</v>
      </c>
      <c r="E17" s="103" t="str">
        <f>HYPERLINK("https://youtu.be/PghH_oObvLw","channel 1")</f>
        <v>channel 1</v>
      </c>
    </row>
    <row r="18">
      <c r="B18" s="10" t="s">
        <v>702</v>
      </c>
      <c r="C18" s="18" t="s">
        <v>360</v>
      </c>
      <c r="D18" s="10" t="s">
        <v>1618</v>
      </c>
      <c r="E18" s="103" t="str">
        <f>HYPERLINK("https://youtu.be/ZKjAXfHLGxI","channel 2")</f>
        <v>channel 2</v>
      </c>
    </row>
    <row r="19">
      <c r="B19" s="10" t="s">
        <v>1443</v>
      </c>
      <c r="C19" s="18" t="s">
        <v>42</v>
      </c>
      <c r="D19" s="10" t="s">
        <v>120</v>
      </c>
      <c r="E19" s="103" t="str">
        <f>HYPERLINK("https://youtu.be/6Q6TXvT6nW8","channel 1")</f>
        <v>channel 1</v>
      </c>
    </row>
    <row r="20">
      <c r="B20" s="10" t="s">
        <v>702</v>
      </c>
      <c r="C20" s="18" t="s">
        <v>555</v>
      </c>
      <c r="D20" s="10" t="s">
        <v>1620</v>
      </c>
      <c r="E20" s="103" t="str">
        <f>HYPERLINK("https://youtu.be/Z7RDSB08C2A","channel 2")</f>
        <v>channel 2</v>
      </c>
    </row>
    <row r="21">
      <c r="B21" s="10" t="s">
        <v>1618</v>
      </c>
      <c r="C21" s="18" t="s">
        <v>319</v>
      </c>
      <c r="D21" s="10" t="s">
        <v>120</v>
      </c>
      <c r="E21" s="103" t="str">
        <f>HYPERLINK("https://youtu.be/s_CSNsyOiBg","channel 1")</f>
        <v>channel 1</v>
      </c>
    </row>
    <row r="22">
      <c r="B22" s="10" t="s">
        <v>1443</v>
      </c>
      <c r="C22" s="18" t="s">
        <v>575</v>
      </c>
      <c r="D22" s="10" t="s">
        <v>1620</v>
      </c>
      <c r="E22" s="103" t="str">
        <f>HYPERLINK("https://youtu.be/vAcGAn3ooXM","channel 2")</f>
        <v>channel 2</v>
      </c>
    </row>
    <row r="23">
      <c r="B23" s="2" t="s">
        <v>60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924</v>
      </c>
      <c r="C25" s="70" t="s">
        <v>749</v>
      </c>
      <c r="D25" s="10" t="s">
        <v>1356</v>
      </c>
      <c r="E25" s="103" t="str">
        <f>HYPERLINK("https://youtu.be/44AWy4fDefA","channel 1")</f>
        <v>channel 1</v>
      </c>
    </row>
    <row r="26">
      <c r="B26" s="72" t="s">
        <v>21</v>
      </c>
      <c r="C26" s="73" t="s">
        <v>49</v>
      </c>
      <c r="D26" s="72" t="s">
        <v>1268</v>
      </c>
      <c r="E26" s="103" t="str">
        <f>HYPERLINK("https://youtu.be/jJ-cr4krLzo","channel 2")</f>
        <v>channel 2</v>
      </c>
    </row>
    <row r="27">
      <c r="B27" s="72" t="s">
        <v>1628</v>
      </c>
      <c r="C27" s="73" t="s">
        <v>180</v>
      </c>
      <c r="D27" s="72" t="s">
        <v>924</v>
      </c>
      <c r="E27" s="103" t="str">
        <f>HYPERLINK("https://youtu.be/G7oJxsr5NYU","channel 1")</f>
        <v>channel 1</v>
      </c>
    </row>
    <row r="28">
      <c r="B28" s="72" t="s">
        <v>21</v>
      </c>
      <c r="C28" s="73" t="s">
        <v>34</v>
      </c>
      <c r="D28" s="72" t="s">
        <v>1356</v>
      </c>
      <c r="E28" s="103" t="str">
        <f>HYPERLINK("https://youtu.be/NgP43M05uGc","channel 2")</f>
        <v>channel 2</v>
      </c>
    </row>
    <row r="29">
      <c r="B29" s="72" t="s">
        <v>1628</v>
      </c>
      <c r="C29" s="73" t="s">
        <v>218</v>
      </c>
      <c r="D29" s="72" t="s">
        <v>1268</v>
      </c>
      <c r="E29" s="103" t="str">
        <f>HYPERLINK("https://youtu.be/1_nY5If8JDg","channel 1")</f>
        <v>channel 1</v>
      </c>
    </row>
    <row r="30">
      <c r="B30" s="72" t="s">
        <v>21</v>
      </c>
      <c r="C30" s="73" t="s">
        <v>18</v>
      </c>
      <c r="D30" s="72" t="s">
        <v>924</v>
      </c>
      <c r="E30" s="103" t="str">
        <f>HYPERLINK("https://youtu.be/3NqgyaG3KOI","channel 2")</f>
        <v>channel 2</v>
      </c>
    </row>
    <row r="31">
      <c r="B31" s="72" t="s">
        <v>1628</v>
      </c>
      <c r="C31" s="73" t="s">
        <v>42</v>
      </c>
      <c r="D31" s="72" t="s">
        <v>1356</v>
      </c>
      <c r="E31" s="103" t="str">
        <f>HYPERLINK("https://youtu.be/X2dSfKN0axI","channel 1")</f>
        <v>channel 1</v>
      </c>
    </row>
    <row r="32">
      <c r="B32" s="72" t="s">
        <v>1268</v>
      </c>
      <c r="C32" s="73" t="s">
        <v>192</v>
      </c>
      <c r="D32" s="72" t="s">
        <v>924</v>
      </c>
      <c r="E32" s="103" t="str">
        <f>HYPERLINK("https://youtu.be/FHIWBxHCFIc","channel 2")</f>
        <v>channel 2</v>
      </c>
    </row>
    <row r="33">
      <c r="B33" s="72" t="s">
        <v>1628</v>
      </c>
      <c r="C33" s="73" t="s">
        <v>111</v>
      </c>
      <c r="D33" s="72" t="s">
        <v>21</v>
      </c>
      <c r="E33" s="103" t="str">
        <f>HYPERLINK("https://youtu.be/OYHhMibDUwE","channel 1")</f>
        <v>channel 1</v>
      </c>
    </row>
    <row r="34">
      <c r="B34" s="72" t="s">
        <v>1268</v>
      </c>
      <c r="C34" s="73" t="s">
        <v>405</v>
      </c>
      <c r="D34" s="72" t="s">
        <v>1356</v>
      </c>
      <c r="E34" s="103" t="str">
        <f>HYPERLINK("https://youtu.be/7sIkUf6KOcM","channel 2")</f>
        <v>channel 2</v>
      </c>
    </row>
    <row r="35">
      <c r="B35" s="72" t="s">
        <v>1356</v>
      </c>
      <c r="C35" s="73" t="s">
        <v>10</v>
      </c>
      <c r="D35" s="72" t="s">
        <v>924</v>
      </c>
      <c r="E35" s="103" t="str">
        <f>HYPERLINK("https://youtu.be/eN1E6po0VRE","channel 1")</f>
        <v>channel 1</v>
      </c>
    </row>
    <row r="36">
      <c r="B36" s="72" t="s">
        <v>1268</v>
      </c>
      <c r="C36" s="73" t="s">
        <v>1630</v>
      </c>
      <c r="D36" s="72" t="s">
        <v>21</v>
      </c>
      <c r="E36" s="103" t="str">
        <f>HYPERLINK("https://youtu.be/GUq0lGh-vlA","channel 2")</f>
        <v>channel 2</v>
      </c>
    </row>
    <row r="37">
      <c r="B37" s="72" t="s">
        <v>924</v>
      </c>
      <c r="C37" s="75" t="s">
        <v>1020</v>
      </c>
      <c r="D37" s="72" t="s">
        <v>1628</v>
      </c>
      <c r="E37" s="103" t="str">
        <f>HYPERLINK("https://youtu.be/RhkYyO1ooHU","channel 1")</f>
        <v>channel 1</v>
      </c>
    </row>
    <row r="38">
      <c r="B38" s="72" t="s">
        <v>1356</v>
      </c>
      <c r="C38" s="75" t="s">
        <v>742</v>
      </c>
      <c r="D38" s="72" t="s">
        <v>21</v>
      </c>
      <c r="E38" s="103" t="str">
        <f>HYPERLINK("https://youtu.be/M40mjYN6olk","channel 2")</f>
        <v>channel 2</v>
      </c>
    </row>
    <row r="39">
      <c r="B39" s="72" t="s">
        <v>1268</v>
      </c>
      <c r="C39" s="75" t="s">
        <v>33</v>
      </c>
      <c r="D39" s="72" t="s">
        <v>1628</v>
      </c>
      <c r="E39" s="103" t="str">
        <f>HYPERLINK("https://youtu.be/NwZPXNIEbRw","channel 1")</f>
        <v>channel 1</v>
      </c>
    </row>
    <row r="40">
      <c r="B40" s="72" t="s">
        <v>924</v>
      </c>
      <c r="C40" s="75" t="s">
        <v>157</v>
      </c>
      <c r="D40" s="72" t="s">
        <v>21</v>
      </c>
      <c r="E40" s="103" t="str">
        <f>HYPERLINK("https://youtu.be/Ezg-IT9JpD8","channel 2")</f>
        <v>channel 2</v>
      </c>
    </row>
    <row r="41">
      <c r="B41" s="72" t="s">
        <v>1356</v>
      </c>
      <c r="C41" s="75" t="s">
        <v>27</v>
      </c>
      <c r="D41" s="72" t="s">
        <v>1628</v>
      </c>
      <c r="E41" s="103" t="str">
        <f>HYPERLINK("https://youtu.be/0HQFETiNpZs","channel 1")</f>
        <v>channel 1</v>
      </c>
    </row>
    <row r="42">
      <c r="B42" s="72" t="s">
        <v>924</v>
      </c>
      <c r="C42" s="75" t="s">
        <v>190</v>
      </c>
      <c r="D42" s="72" t="s">
        <v>1268</v>
      </c>
      <c r="E42" s="103" t="str">
        <f>HYPERLINK("https://youtu.be/Dh0aFgoIrcY","channel 2")</f>
        <v>channel 2</v>
      </c>
    </row>
    <row r="43">
      <c r="B43" s="72" t="s">
        <v>21</v>
      </c>
      <c r="C43" s="75" t="s">
        <v>223</v>
      </c>
      <c r="D43" s="72" t="s">
        <v>1628</v>
      </c>
      <c r="E43" s="103" t="str">
        <f>HYPERLINK("https://youtu.be/kWDqmF3kJlQ","channel 1")</f>
        <v>channel 1</v>
      </c>
    </row>
    <row r="44">
      <c r="B44" s="72" t="s">
        <v>1356</v>
      </c>
      <c r="C44" s="75" t="s">
        <v>458</v>
      </c>
      <c r="D44" s="72" t="s">
        <v>1268</v>
      </c>
      <c r="E44" s="103" t="str">
        <f>HYPERLINK("https://youtu.be/66sNpketoY8","channel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1617</v>
      </c>
      <c r="C3" s="87" t="s">
        <v>20</v>
      </c>
      <c r="D3" s="71" t="s">
        <v>1619</v>
      </c>
      <c r="E3" s="13" t="str">
        <f>HYPERLINK("https://youtu.be/_2e-YVvmKQw","channel 1")</f>
        <v>channel 1</v>
      </c>
    </row>
    <row r="4">
      <c r="B4" s="72" t="s">
        <v>1621</v>
      </c>
      <c r="C4" s="12" t="s">
        <v>106</v>
      </c>
      <c r="D4" s="74" t="s">
        <v>1622</v>
      </c>
      <c r="E4" s="66" t="str">
        <f>HYPERLINK("https://youtu.be/pOU0dxLOggs","channel 2")</f>
        <v>channel 2</v>
      </c>
    </row>
    <row r="5">
      <c r="B5" s="72" t="s">
        <v>236</v>
      </c>
      <c r="C5" s="101" t="s">
        <v>37</v>
      </c>
      <c r="D5" s="74" t="s">
        <v>1617</v>
      </c>
      <c r="E5" s="13" t="str">
        <f>HYPERLINK("https://youtu.be/dY87gNR5XwM","channel 1")</f>
        <v>channel 1</v>
      </c>
    </row>
    <row r="6">
      <c r="B6" s="72" t="s">
        <v>1621</v>
      </c>
      <c r="C6" s="12" t="s">
        <v>347</v>
      </c>
      <c r="D6" s="74" t="s">
        <v>1619</v>
      </c>
      <c r="E6" s="66" t="str">
        <f>HYPERLINK("https://youtu.be/tqdeeXB-tVk","channel 2")</f>
        <v>channel 2</v>
      </c>
    </row>
    <row r="7">
      <c r="B7" s="72" t="s">
        <v>236</v>
      </c>
      <c r="C7" s="87" t="s">
        <v>93</v>
      </c>
      <c r="D7" s="74" t="s">
        <v>1622</v>
      </c>
      <c r="E7" s="13" t="str">
        <f>HYPERLINK("https://youtu.be/LFADfRmrjQ8","channel 1")</f>
        <v>channel 1</v>
      </c>
    </row>
    <row r="8">
      <c r="B8" s="72" t="s">
        <v>1621</v>
      </c>
      <c r="C8" s="12" t="s">
        <v>156</v>
      </c>
      <c r="D8" s="74" t="s">
        <v>1617</v>
      </c>
      <c r="E8" s="66" t="str">
        <f>HYPERLINK("https://youtu.be/XKp5O5B5eqk","channel 2")</f>
        <v>channel 2</v>
      </c>
    </row>
    <row r="9">
      <c r="B9" s="72" t="s">
        <v>236</v>
      </c>
      <c r="C9" s="73" t="s">
        <v>110</v>
      </c>
      <c r="D9" s="74" t="s">
        <v>1619</v>
      </c>
      <c r="E9" s="13" t="str">
        <f>HYPERLINK("https://youtu.be/6lRCx6-dw90","channel 1")</f>
        <v>channel 1</v>
      </c>
    </row>
    <row r="10">
      <c r="B10" s="72" t="s">
        <v>1622</v>
      </c>
      <c r="C10" s="73" t="s">
        <v>145</v>
      </c>
      <c r="D10" s="74" t="s">
        <v>1617</v>
      </c>
      <c r="E10" s="66" t="str">
        <f>HYPERLINK("https://youtu.be/Pc0Q0m28wzE","channel 2")</f>
        <v>channel 2</v>
      </c>
    </row>
    <row r="11">
      <c r="B11" s="72" t="s">
        <v>236</v>
      </c>
      <c r="C11" s="73" t="s">
        <v>350</v>
      </c>
      <c r="D11" s="74" t="s">
        <v>1621</v>
      </c>
      <c r="E11" s="13" t="str">
        <f>HYPERLINK("https://youtu.be/Ktmwc6UbeYU","channel 1")</f>
        <v>channel 1</v>
      </c>
    </row>
    <row r="12">
      <c r="B12" s="72" t="s">
        <v>1622</v>
      </c>
      <c r="C12" s="73" t="s">
        <v>106</v>
      </c>
      <c r="D12" s="74" t="s">
        <v>1619</v>
      </c>
      <c r="E12" s="66" t="str">
        <f>HYPERLINK("https://youtu.be/6UN1UgdoI7w","channel 2")</f>
        <v>channel 2</v>
      </c>
    </row>
    <row r="13">
      <c r="B13" s="72" t="s">
        <v>1619</v>
      </c>
      <c r="C13" s="87" t="s">
        <v>46</v>
      </c>
      <c r="D13" s="74" t="s">
        <v>1617</v>
      </c>
      <c r="E13" s="13" t="str">
        <f>HYPERLINK("https://youtu.be/ddEZV0Ymhfg","channel 1")</f>
        <v>channel 1</v>
      </c>
    </row>
    <row r="14">
      <c r="B14" s="72" t="s">
        <v>1622</v>
      </c>
      <c r="C14" s="12" t="s">
        <v>494</v>
      </c>
      <c r="D14" s="74" t="s">
        <v>1621</v>
      </c>
      <c r="E14" s="66" t="str">
        <f>HYPERLINK("https://youtu.be/dRm0WAy_m4k","channel 2")</f>
        <v>channel 2</v>
      </c>
    </row>
    <row r="15">
      <c r="B15" s="72" t="s">
        <v>1617</v>
      </c>
      <c r="C15" s="102" t="s">
        <v>99</v>
      </c>
      <c r="D15" s="74" t="s">
        <v>236</v>
      </c>
      <c r="E15" s="13" t="str">
        <f>HYPERLINK("https://youtu.be/rQ27spLJ-Qw","channel 1")</f>
        <v>channel 1</v>
      </c>
    </row>
    <row r="16">
      <c r="B16" s="100" t="s">
        <v>1619</v>
      </c>
      <c r="C16" s="18" t="s">
        <v>148</v>
      </c>
      <c r="D16" s="74" t="s">
        <v>1621</v>
      </c>
      <c r="E16" s="66" t="str">
        <f>HYPERLINK("https://youtu.be/v22EngoV5XY","channel 2")</f>
        <v>channel 2</v>
      </c>
    </row>
    <row r="17">
      <c r="B17" s="72" t="s">
        <v>1622</v>
      </c>
      <c r="C17" s="18" t="s">
        <v>124</v>
      </c>
      <c r="D17" s="74" t="s">
        <v>236</v>
      </c>
      <c r="E17" s="13" t="str">
        <f>HYPERLINK("https://youtu.be/Sbuzs3vvyjc","channel 1")</f>
        <v>channel 1</v>
      </c>
    </row>
    <row r="18">
      <c r="B18" s="72" t="s">
        <v>1617</v>
      </c>
      <c r="C18" s="75" t="s">
        <v>124</v>
      </c>
      <c r="D18" s="74" t="s">
        <v>1621</v>
      </c>
      <c r="E18" s="66" t="str">
        <f>HYPERLINK("https://youtu.be/vCt1fsq1O7A","channel 2")</f>
        <v>channel 2</v>
      </c>
    </row>
    <row r="19">
      <c r="B19" s="72" t="s">
        <v>1619</v>
      </c>
      <c r="C19" s="75" t="s">
        <v>10</v>
      </c>
      <c r="D19" s="74" t="s">
        <v>236</v>
      </c>
      <c r="E19" s="13" t="str">
        <f>HYPERLINK("https://youtu.be/a2-asedGwnQ","channel 1")</f>
        <v>channel 1</v>
      </c>
    </row>
    <row r="20">
      <c r="B20" s="72" t="s">
        <v>1617</v>
      </c>
      <c r="C20" s="75" t="s">
        <v>145</v>
      </c>
      <c r="D20" s="74" t="s">
        <v>1622</v>
      </c>
      <c r="E20" s="66" t="str">
        <f>HYPERLINK("https://youtu.be/P-hSSYRQEgA","channel 2")</f>
        <v>channel 2</v>
      </c>
    </row>
    <row r="21">
      <c r="B21" s="72" t="s">
        <v>1621</v>
      </c>
      <c r="C21" s="102" t="s">
        <v>1624</v>
      </c>
      <c r="D21" s="74" t="s">
        <v>236</v>
      </c>
      <c r="E21" s="13" t="str">
        <f>HYPERLINK("https://youtu.be/xCdW7BRR0a4","channel 1")</f>
        <v>channel 1</v>
      </c>
    </row>
    <row r="22">
      <c r="B22" s="72" t="s">
        <v>1619</v>
      </c>
      <c r="C22" s="18" t="s">
        <v>304</v>
      </c>
      <c r="D22" s="74" t="s">
        <v>1622</v>
      </c>
      <c r="E22" s="66" t="str">
        <f>HYPERLINK("https://youtu.be/We7SDW8peUs","channel 2")</f>
        <v>channel 2</v>
      </c>
    </row>
    <row r="23">
      <c r="B23" s="2" t="s">
        <v>64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1625</v>
      </c>
      <c r="C25" s="70" t="s">
        <v>1145</v>
      </c>
      <c r="D25" s="71" t="s">
        <v>1626</v>
      </c>
      <c r="E25" s="13" t="str">
        <f>HYPERLINK("https://youtu.be/X9U1lL_vTV4","channel 1")</f>
        <v>channel 1</v>
      </c>
    </row>
    <row r="26">
      <c r="B26" s="72" t="s">
        <v>1416</v>
      </c>
      <c r="C26" s="73" t="s">
        <v>319</v>
      </c>
      <c r="D26" s="74" t="s">
        <v>1383</v>
      </c>
      <c r="E26" s="66" t="str">
        <f>HYPERLINK("https://youtu.be/MPijWPeYqr0","channel 2")</f>
        <v>channel 2</v>
      </c>
    </row>
    <row r="27">
      <c r="B27" s="72" t="s">
        <v>1627</v>
      </c>
      <c r="C27" s="73" t="s">
        <v>442</v>
      </c>
      <c r="D27" s="74" t="s">
        <v>1625</v>
      </c>
      <c r="E27" s="13" t="str">
        <f>HYPERLINK("https://youtu.be/pBrEcbke4Qs","channel 1")</f>
        <v>channel 1</v>
      </c>
    </row>
    <row r="28">
      <c r="B28" s="72" t="s">
        <v>1416</v>
      </c>
      <c r="C28" s="73" t="s">
        <v>498</v>
      </c>
      <c r="D28" s="74" t="s">
        <v>1626</v>
      </c>
      <c r="E28" s="66" t="str">
        <f>HYPERLINK("https://youtu.be/DvOApDbHKyE","channel 2")</f>
        <v>channel 2</v>
      </c>
    </row>
    <row r="29">
      <c r="B29" s="72" t="s">
        <v>1627</v>
      </c>
      <c r="C29" s="73" t="s">
        <v>1309</v>
      </c>
      <c r="D29" s="74" t="s">
        <v>1383</v>
      </c>
      <c r="E29" s="13" t="str">
        <f>HYPERLINK("https://youtu.be/jFFvWnqRNtE","channel 1")</f>
        <v>channel 1</v>
      </c>
    </row>
    <row r="30">
      <c r="B30" s="72" t="s">
        <v>1416</v>
      </c>
      <c r="C30" s="73" t="s">
        <v>47</v>
      </c>
      <c r="D30" s="74" t="s">
        <v>1625</v>
      </c>
      <c r="E30" s="66" t="str">
        <f>HYPERLINK("https://youtu.be/8ISSqgsTV-8","channel 2")</f>
        <v>channel 2</v>
      </c>
    </row>
    <row r="31">
      <c r="B31" s="72" t="s">
        <v>1627</v>
      </c>
      <c r="C31" s="73" t="s">
        <v>338</v>
      </c>
      <c r="D31" s="74" t="s">
        <v>1626</v>
      </c>
      <c r="E31" s="13" t="str">
        <f>HYPERLINK("https://youtu.be/G3ekIPXvLPU","channel 1")</f>
        <v>channel 1</v>
      </c>
    </row>
    <row r="32">
      <c r="B32" s="72" t="s">
        <v>1383</v>
      </c>
      <c r="C32" s="73" t="s">
        <v>237</v>
      </c>
      <c r="D32" s="74" t="s">
        <v>1625</v>
      </c>
      <c r="E32" s="66" t="str">
        <f>HYPERLINK("https://youtu.be/1KVliGGS03g","channel 2")</f>
        <v>channel 2</v>
      </c>
    </row>
    <row r="33">
      <c r="B33" s="72" t="s">
        <v>1627</v>
      </c>
      <c r="C33" s="73" t="s">
        <v>859</v>
      </c>
      <c r="D33" s="72" t="s">
        <v>1416</v>
      </c>
      <c r="E33" s="13" t="str">
        <f>HYPERLINK("https://youtu.be/rkPR7lth0vE","channel 1")</f>
        <v>channel 1</v>
      </c>
    </row>
    <row r="34">
      <c r="B34" s="72" t="s">
        <v>1383</v>
      </c>
      <c r="C34" s="73" t="s">
        <v>311</v>
      </c>
      <c r="D34" s="74" t="s">
        <v>1626</v>
      </c>
      <c r="E34" s="66" t="str">
        <f>HYPERLINK("https://youtu.be/zM9PulWt3ZA","channel 2")</f>
        <v>channel 2</v>
      </c>
    </row>
    <row r="35">
      <c r="B35" s="72" t="s">
        <v>1626</v>
      </c>
      <c r="C35" s="73" t="s">
        <v>230</v>
      </c>
      <c r="D35" s="74" t="s">
        <v>1625</v>
      </c>
      <c r="E35" s="13" t="str">
        <f>HYPERLINK("https://youtu.be/8mA1GrnYV7E","channel 1")</f>
        <v>channel 1</v>
      </c>
    </row>
    <row r="36">
      <c r="B36" s="72" t="s">
        <v>1383</v>
      </c>
      <c r="C36" s="73" t="s">
        <v>1629</v>
      </c>
      <c r="D36" s="72" t="s">
        <v>1416</v>
      </c>
      <c r="E36" s="66" t="str">
        <f>HYPERLINK("https://youtu.be/YYS4LH5qoI0","channel 2")</f>
        <v>channel 2</v>
      </c>
    </row>
    <row r="37">
      <c r="B37" s="72" t="s">
        <v>1625</v>
      </c>
      <c r="C37" s="73" t="s">
        <v>261</v>
      </c>
      <c r="D37" s="74" t="s">
        <v>1627</v>
      </c>
      <c r="E37" s="13" t="str">
        <f>HYPERLINK("https://youtu.be/mWBUP8EIru8","channel 1")</f>
        <v>channel 1</v>
      </c>
    </row>
    <row r="38">
      <c r="B38" s="72" t="s">
        <v>1626</v>
      </c>
      <c r="C38" s="73" t="s">
        <v>212</v>
      </c>
      <c r="D38" s="72" t="s">
        <v>1416</v>
      </c>
      <c r="E38" s="66" t="str">
        <f>HYPERLINK("https://youtu.be/TX3RnZJMtbE","channel 2")</f>
        <v>channel 2</v>
      </c>
    </row>
    <row r="39">
      <c r="B39" s="72" t="s">
        <v>1383</v>
      </c>
      <c r="C39" s="73" t="s">
        <v>135</v>
      </c>
      <c r="D39" s="74" t="s">
        <v>1627</v>
      </c>
      <c r="E39" s="13" t="str">
        <f>HYPERLINK("https://youtu.be/0E7AfGCni4Y","channel 1")</f>
        <v>channel 1</v>
      </c>
    </row>
    <row r="40">
      <c r="B40" s="72" t="s">
        <v>1625</v>
      </c>
      <c r="C40" s="73" t="s">
        <v>138</v>
      </c>
      <c r="D40" s="72" t="s">
        <v>1416</v>
      </c>
      <c r="E40" s="66" t="str">
        <f>HYPERLINK("https://youtu.be/IAc6D1Y_bgQ","channel 2")</f>
        <v>channel 2</v>
      </c>
    </row>
    <row r="41">
      <c r="B41" s="72" t="s">
        <v>1626</v>
      </c>
      <c r="C41" s="73" t="s">
        <v>101</v>
      </c>
      <c r="D41" s="74" t="s">
        <v>1627</v>
      </c>
      <c r="E41" s="13" t="str">
        <f>HYPERLINK("https://youtu.be/rLQW3FOkNaI","channel 1")</f>
        <v>channel 1</v>
      </c>
    </row>
    <row r="42">
      <c r="B42" s="72" t="s">
        <v>1625</v>
      </c>
      <c r="C42" s="73" t="s">
        <v>46</v>
      </c>
      <c r="D42" s="74" t="s">
        <v>1383</v>
      </c>
      <c r="E42" s="66" t="str">
        <f>HYPERLINK("https://youtu.be/U9TtYKEbJbE","channel 2")</f>
        <v>channel 2</v>
      </c>
    </row>
    <row r="43">
      <c r="B43" s="72" t="s">
        <v>1416</v>
      </c>
      <c r="C43" s="73" t="s">
        <v>318</v>
      </c>
      <c r="D43" s="74" t="s">
        <v>1627</v>
      </c>
      <c r="E43" s="13" t="str">
        <f>HYPERLINK("https://youtu.be/-9aC639R9Bk","channel 1")</f>
        <v>channel 1</v>
      </c>
    </row>
    <row r="44">
      <c r="B44" s="72" t="s">
        <v>1626</v>
      </c>
      <c r="C44" s="75" t="s">
        <v>216</v>
      </c>
      <c r="D44" s="74" t="s">
        <v>1383</v>
      </c>
      <c r="E44" s="66" t="str">
        <f>HYPERLINK("https://youtu.be/nMXQ1NraK1g","channel 2")</f>
        <v>channel 2</v>
      </c>
    </row>
    <row r="45">
      <c r="B45" s="2" t="s">
        <v>597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1631</v>
      </c>
      <c r="C47" s="70" t="s">
        <v>759</v>
      </c>
      <c r="D47" s="71" t="s">
        <v>1632</v>
      </c>
      <c r="E47" s="13" t="str">
        <f>HYPERLINK("https://youtu.be/KjpOsFMjFT4","channel 1")</f>
        <v>channel 1</v>
      </c>
    </row>
    <row r="48">
      <c r="B48" s="72" t="s">
        <v>885</v>
      </c>
      <c r="C48" s="73" t="s">
        <v>24</v>
      </c>
      <c r="D48" s="74" t="s">
        <v>1633</v>
      </c>
      <c r="E48" s="66" t="str">
        <f>HYPERLINK("https://youtu.be/YGf44UoRz-o","channel 2")</f>
        <v>channel 2</v>
      </c>
    </row>
    <row r="49">
      <c r="B49" s="72" t="s">
        <v>1468</v>
      </c>
      <c r="C49" s="73" t="s">
        <v>49</v>
      </c>
      <c r="D49" s="74" t="s">
        <v>1631</v>
      </c>
      <c r="E49" s="13" t="str">
        <f>HYPERLINK("https://youtu.be/uvuMHU-R_pk","channel 1")</f>
        <v>channel 1</v>
      </c>
    </row>
    <row r="50">
      <c r="B50" s="72" t="s">
        <v>885</v>
      </c>
      <c r="C50" s="73" t="s">
        <v>218</v>
      </c>
      <c r="D50" s="74" t="s">
        <v>1632</v>
      </c>
      <c r="E50" s="66" t="str">
        <f>HYPERLINK("https://youtu.be/TbLoVoD4rWc","channel 2")</f>
        <v>channel 2</v>
      </c>
    </row>
    <row r="51">
      <c r="B51" s="72" t="s">
        <v>1468</v>
      </c>
      <c r="C51" s="73" t="s">
        <v>343</v>
      </c>
      <c r="D51" s="74" t="s">
        <v>1633</v>
      </c>
      <c r="E51" s="13" t="str">
        <f>HYPERLINK("https://youtu.be/THn9FIFitGs","channel 1")</f>
        <v>channel 1</v>
      </c>
    </row>
    <row r="52">
      <c r="B52" s="72" t="s">
        <v>885</v>
      </c>
      <c r="C52" s="73" t="s">
        <v>46</v>
      </c>
      <c r="D52" s="74" t="s">
        <v>1631</v>
      </c>
      <c r="E52" s="66" t="str">
        <f>HYPERLINK("https://youtu.be/ubI0f96K-YE","channel 2")</f>
        <v>channel 2</v>
      </c>
    </row>
    <row r="53">
      <c r="B53" s="72" t="s">
        <v>1468</v>
      </c>
      <c r="C53" s="73" t="s">
        <v>724</v>
      </c>
      <c r="D53" s="74" t="s">
        <v>1632</v>
      </c>
      <c r="E53" s="13" t="str">
        <f>HYPERLINK("https://youtu.be/pO_TN2dHDh4","channel 1")</f>
        <v>channel 1</v>
      </c>
    </row>
    <row r="54">
      <c r="B54" s="72" t="s">
        <v>1633</v>
      </c>
      <c r="C54" s="73" t="s">
        <v>148</v>
      </c>
      <c r="D54" s="74" t="s">
        <v>1631</v>
      </c>
      <c r="E54" s="66" t="str">
        <f>HYPERLINK("https://youtu.be/zDRslJihl2A","channel 2")</f>
        <v>channel 2</v>
      </c>
    </row>
    <row r="55">
      <c r="B55" s="72" t="s">
        <v>1468</v>
      </c>
      <c r="C55" s="73" t="s">
        <v>460</v>
      </c>
      <c r="D55" s="74" t="s">
        <v>885</v>
      </c>
      <c r="E55" s="13" t="str">
        <f>HYPERLINK("https://youtu.be/DGPPDYyZvHI","channel 1")</f>
        <v>channel 1</v>
      </c>
    </row>
    <row r="56">
      <c r="B56" s="72" t="s">
        <v>1633</v>
      </c>
      <c r="C56" s="73" t="s">
        <v>103</v>
      </c>
      <c r="D56" s="74" t="s">
        <v>1632</v>
      </c>
      <c r="E56" s="66" t="str">
        <f>HYPERLINK("https://youtu.be/80LZuRWy86Q","channel 2")</f>
        <v>channel 2</v>
      </c>
    </row>
    <row r="57">
      <c r="B57" s="72" t="s">
        <v>1632</v>
      </c>
      <c r="C57" s="73" t="s">
        <v>47</v>
      </c>
      <c r="D57" s="74" t="s">
        <v>1631</v>
      </c>
      <c r="E57" s="13" t="str">
        <f>HYPERLINK("https://youtu.be/GATQcW0wPDE","channel 1")</f>
        <v>channel 1</v>
      </c>
    </row>
    <row r="58">
      <c r="B58" s="72" t="s">
        <v>1633</v>
      </c>
      <c r="C58" s="73" t="s">
        <v>526</v>
      </c>
      <c r="D58" s="74" t="s">
        <v>885</v>
      </c>
      <c r="E58" s="66" t="str">
        <f>HYPERLINK("https://youtu.be/xsieBboALcg","channel 2")</f>
        <v>channel 2</v>
      </c>
    </row>
    <row r="59">
      <c r="B59" s="72" t="s">
        <v>1631</v>
      </c>
      <c r="C59" s="75" t="s">
        <v>32</v>
      </c>
      <c r="D59" s="74" t="s">
        <v>1468</v>
      </c>
      <c r="E59" s="13" t="str">
        <f>HYPERLINK("https://youtu.be/srvNIQ57ywo","channel 1")</f>
        <v>channel 1</v>
      </c>
    </row>
    <row r="60">
      <c r="B60" s="100" t="s">
        <v>1632</v>
      </c>
      <c r="C60" s="75" t="s">
        <v>212</v>
      </c>
      <c r="D60" s="74" t="s">
        <v>885</v>
      </c>
      <c r="E60" s="66" t="str">
        <f>HYPERLINK("https://youtu.be/K9bG4Tsy3dc","channel 2")</f>
        <v>channel 2</v>
      </c>
    </row>
    <row r="61">
      <c r="B61" s="72" t="s">
        <v>1633</v>
      </c>
      <c r="C61" s="75" t="s">
        <v>260</v>
      </c>
      <c r="D61" s="74" t="s">
        <v>1468</v>
      </c>
      <c r="E61" s="13" t="str">
        <f>HYPERLINK("https://youtu.be/Y2meFSqs6Jw","channel 1")</f>
        <v>channel 1</v>
      </c>
    </row>
    <row r="62">
      <c r="B62" s="72" t="s">
        <v>1631</v>
      </c>
      <c r="C62" s="75" t="s">
        <v>505</v>
      </c>
      <c r="D62" s="74" t="s">
        <v>885</v>
      </c>
      <c r="E62" s="66" t="str">
        <f>HYPERLINK("https://youtu.be/xM8abNAjEkk","channel 2")</f>
        <v>channel 2</v>
      </c>
    </row>
    <row r="63">
      <c r="B63" s="72" t="s">
        <v>1632</v>
      </c>
      <c r="C63" s="75" t="s">
        <v>61</v>
      </c>
      <c r="D63" s="74" t="s">
        <v>1468</v>
      </c>
      <c r="E63" s="13" t="str">
        <f>HYPERLINK("https://youtu.be/87-C9_cQTJ0","channel 1")</f>
        <v>channel 1</v>
      </c>
    </row>
    <row r="64">
      <c r="B64" s="72" t="s">
        <v>1631</v>
      </c>
      <c r="C64" s="75" t="s">
        <v>477</v>
      </c>
      <c r="D64" s="74" t="s">
        <v>1633</v>
      </c>
      <c r="E64" s="66" t="str">
        <f>HYPERLINK("https://youtu.be/mD3mLFD9HlY","channel 2")</f>
        <v>channel 2</v>
      </c>
    </row>
    <row r="65">
      <c r="B65" s="72" t="s">
        <v>885</v>
      </c>
      <c r="C65" s="75" t="s">
        <v>309</v>
      </c>
      <c r="D65" s="74" t="s">
        <v>1468</v>
      </c>
      <c r="E65" s="13" t="str">
        <f>HYPERLINK("https://youtu.be/g9pfsmYbOYk","channel 1")</f>
        <v>channel 1</v>
      </c>
    </row>
    <row r="66">
      <c r="B66" s="72" t="s">
        <v>1632</v>
      </c>
      <c r="C66" s="75" t="s">
        <v>598</v>
      </c>
      <c r="D66" s="74" t="s">
        <v>1633</v>
      </c>
      <c r="E66" s="66" t="str">
        <f>HYPERLINK("https://youtu.be/jwYloAaRrZE","channel 2")</f>
        <v>channel 2</v>
      </c>
    </row>
    <row r="67">
      <c r="B67" s="2" t="s">
        <v>1276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783</v>
      </c>
      <c r="C69" s="70" t="s">
        <v>574</v>
      </c>
      <c r="D69" s="71" t="s">
        <v>1634</v>
      </c>
      <c r="E69" s="13" t="str">
        <f>HYPERLINK("https://youtu.be/jHVj_22mKKk","channel 1")</f>
        <v>channel 1</v>
      </c>
    </row>
    <row r="70">
      <c r="B70" s="72" t="s">
        <v>1034</v>
      </c>
      <c r="C70" s="73" t="s">
        <v>216</v>
      </c>
      <c r="D70" s="74" t="s">
        <v>1511</v>
      </c>
      <c r="E70" s="66" t="str">
        <f>HYPERLINK("https://youtu.be/YYb-aMUA7zM","channel 2")</f>
        <v>channel 2</v>
      </c>
    </row>
    <row r="71">
      <c r="B71" s="72" t="s">
        <v>1635</v>
      </c>
      <c r="C71" s="73" t="s">
        <v>108</v>
      </c>
      <c r="D71" s="74" t="s">
        <v>783</v>
      </c>
      <c r="E71" s="13" t="str">
        <f>HYPERLINK("https://youtu.be/lg3IpaMaIX8","channel 1")</f>
        <v>channel 1</v>
      </c>
    </row>
    <row r="72">
      <c r="B72" s="72" t="s">
        <v>1034</v>
      </c>
      <c r="C72" s="73" t="s">
        <v>135</v>
      </c>
      <c r="D72" s="74" t="s">
        <v>1634</v>
      </c>
      <c r="E72" s="66" t="str">
        <f>HYPERLINK("https://youtu.be/nRuv-VQV5lc","channel 2")</f>
        <v>channel 2</v>
      </c>
    </row>
    <row r="73">
      <c r="B73" s="72" t="s">
        <v>1635</v>
      </c>
      <c r="C73" s="73" t="s">
        <v>278</v>
      </c>
      <c r="D73" s="74" t="s">
        <v>1511</v>
      </c>
      <c r="E73" s="13" t="str">
        <f>HYPERLINK("https://youtu.be/unYXgaJL7hU","channel 1")</f>
        <v>channel 1</v>
      </c>
    </row>
    <row r="74">
      <c r="B74" s="72" t="s">
        <v>1034</v>
      </c>
      <c r="C74" s="73" t="s">
        <v>87</v>
      </c>
      <c r="D74" s="74" t="s">
        <v>783</v>
      </c>
      <c r="E74" s="66" t="str">
        <f>HYPERLINK("https://youtu.be/e6GFfUWcNyU","channel 2")</f>
        <v>channel 2</v>
      </c>
    </row>
    <row r="75">
      <c r="B75" s="72" t="s">
        <v>1635</v>
      </c>
      <c r="C75" s="73" t="s">
        <v>152</v>
      </c>
      <c r="D75" s="74" t="s">
        <v>1634</v>
      </c>
      <c r="E75" s="13" t="str">
        <f>HYPERLINK("https://youtu.be/s3F9ibUmxVE","channel 1")</f>
        <v>channel 1</v>
      </c>
    </row>
    <row r="76">
      <c r="B76" s="72" t="s">
        <v>1511</v>
      </c>
      <c r="C76" s="73" t="s">
        <v>1636</v>
      </c>
      <c r="D76" s="74" t="s">
        <v>783</v>
      </c>
      <c r="E76" s="66" t="str">
        <f>HYPERLINK("https://youtu.be/IapLwME-1gs","channel 2")</f>
        <v>channel 2</v>
      </c>
    </row>
    <row r="77">
      <c r="B77" s="72" t="s">
        <v>1635</v>
      </c>
      <c r="C77" s="73" t="s">
        <v>108</v>
      </c>
      <c r="D77" s="74" t="s">
        <v>1034</v>
      </c>
      <c r="E77" s="13" t="str">
        <f>HYPERLINK("https://youtu.be/kvYc6iijo84","channel 1")</f>
        <v>channel 1</v>
      </c>
    </row>
    <row r="78">
      <c r="B78" s="72" t="s">
        <v>1511</v>
      </c>
      <c r="C78" s="73" t="s">
        <v>569</v>
      </c>
      <c r="D78" s="74" t="s">
        <v>1634</v>
      </c>
      <c r="E78" s="66" t="str">
        <f>HYPERLINK("https://youtu.be/p9HsvYB5pAA","channel 2")</f>
        <v>channel 2</v>
      </c>
    </row>
    <row r="79">
      <c r="B79" s="72" t="s">
        <v>1634</v>
      </c>
      <c r="C79" s="73" t="s">
        <v>90</v>
      </c>
      <c r="D79" s="74" t="s">
        <v>783</v>
      </c>
      <c r="E79" s="13" t="str">
        <f>HYPERLINK("https://youtu.be/BDbTEURDIOk","сhannel 1")</f>
        <v>сhannel 1</v>
      </c>
    </row>
    <row r="80">
      <c r="B80" s="72" t="s">
        <v>1511</v>
      </c>
      <c r="C80" s="73" t="s">
        <v>1637</v>
      </c>
      <c r="D80" s="74" t="s">
        <v>1034</v>
      </c>
      <c r="E80" s="66" t="str">
        <f>HYPERLINK("https://youtu.be/0DX7Urwozx4","channel 2")</f>
        <v>channel 2</v>
      </c>
    </row>
    <row r="81">
      <c r="B81" s="72" t="s">
        <v>783</v>
      </c>
      <c r="C81" s="75" t="s">
        <v>35</v>
      </c>
      <c r="D81" s="74" t="s">
        <v>1635</v>
      </c>
      <c r="E81" s="13" t="str">
        <f>HYPERLINK("https://youtu.be/jXQWpOF4GoM","channel 1")</f>
        <v>channel 1</v>
      </c>
    </row>
    <row r="82">
      <c r="B82" s="100" t="s">
        <v>1634</v>
      </c>
      <c r="C82" s="75" t="s">
        <v>42</v>
      </c>
      <c r="D82" s="74" t="s">
        <v>1034</v>
      </c>
      <c r="E82" s="66" t="str">
        <f>HYPERLINK("https://youtu.be/IGLXqhkmq58","channel 2")</f>
        <v>channel 2</v>
      </c>
    </row>
    <row r="83">
      <c r="B83" s="72" t="s">
        <v>1511</v>
      </c>
      <c r="C83" s="75" t="s">
        <v>225</v>
      </c>
      <c r="D83" s="74" t="s">
        <v>1635</v>
      </c>
      <c r="E83" s="13" t="str">
        <f>HYPERLINK("https://youtu.be/aaSUOAVUpuE","channel 1")</f>
        <v>channel 1</v>
      </c>
    </row>
    <row r="84">
      <c r="B84" s="72" t="s">
        <v>783</v>
      </c>
      <c r="C84" s="75" t="s">
        <v>143</v>
      </c>
      <c r="D84" s="74" t="s">
        <v>1034</v>
      </c>
      <c r="E84" s="66" t="str">
        <f>HYPERLINK("https://youtu.be/8xZ5byV1rNM","channel 2")</f>
        <v>channel 2</v>
      </c>
    </row>
    <row r="85">
      <c r="B85" s="72" t="s">
        <v>1634</v>
      </c>
      <c r="C85" s="75" t="s">
        <v>34</v>
      </c>
      <c r="D85" s="74" t="s">
        <v>1635</v>
      </c>
      <c r="E85" s="13" t="str">
        <f>HYPERLINK("https://youtu.be/RyyJiUwEjmE","channel 1")</f>
        <v>channel 1</v>
      </c>
    </row>
    <row r="86">
      <c r="B86" s="72" t="s">
        <v>783</v>
      </c>
      <c r="C86" s="75" t="s">
        <v>56</v>
      </c>
      <c r="D86" s="74" t="s">
        <v>1511</v>
      </c>
      <c r="E86" s="66" t="str">
        <f>HYPERLINK("https://youtu.be/Q-pFFg6noKI","channel 2")</f>
        <v>channel 2</v>
      </c>
    </row>
    <row r="87">
      <c r="B87" s="72" t="s">
        <v>1034</v>
      </c>
      <c r="C87" s="75" t="s">
        <v>228</v>
      </c>
      <c r="D87" s="74" t="s">
        <v>1635</v>
      </c>
      <c r="E87" s="13" t="str">
        <f>HYPERLINK("https://youtu.be/DsHUx05iWYU","channel 1")</f>
        <v>channel 1</v>
      </c>
    </row>
    <row r="88">
      <c r="B88" s="72" t="s">
        <v>1634</v>
      </c>
      <c r="C88" s="75" t="s">
        <v>1638</v>
      </c>
      <c r="D88" s="74" t="s">
        <v>1511</v>
      </c>
      <c r="E88" s="66" t="str">
        <f>HYPERLINK("https://youtu.be/8y1_Sxz9fUg","channel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1518</v>
      </c>
      <c r="C3" s="87" t="s">
        <v>135</v>
      </c>
      <c r="D3" s="71" t="s">
        <v>1496</v>
      </c>
      <c r="E3" s="32" t="str">
        <f>HYPERLINK("https://youtu.be/YJktj4gpWZ8","channel 1")</f>
        <v>channel 1</v>
      </c>
    </row>
    <row r="4">
      <c r="B4" s="72" t="s">
        <v>1639</v>
      </c>
      <c r="C4" s="12" t="s">
        <v>216</v>
      </c>
      <c r="D4" s="74" t="s">
        <v>1640</v>
      </c>
      <c r="E4" s="84" t="str">
        <f>HYPERLINK("https://youtu.be/ELF9yB7VVDI","channel 2")</f>
        <v>channel 2</v>
      </c>
    </row>
    <row r="5">
      <c r="B5" s="72" t="s">
        <v>932</v>
      </c>
      <c r="C5" s="101" t="s">
        <v>59</v>
      </c>
      <c r="D5" s="74" t="s">
        <v>1518</v>
      </c>
      <c r="E5" s="32" t="str">
        <f>HYPERLINK("https://youtu.be/AstuQKXNzuQ","channel 1")</f>
        <v>channel 1</v>
      </c>
    </row>
    <row r="6">
      <c r="B6" s="72" t="s">
        <v>1639</v>
      </c>
      <c r="C6" s="12" t="s">
        <v>148</v>
      </c>
      <c r="D6" s="74" t="s">
        <v>1496</v>
      </c>
      <c r="E6" s="84" t="str">
        <f>HYPERLINK("https://youtu.be/Pt_9AScLfx4","channel 2")</f>
        <v>channel 2</v>
      </c>
    </row>
    <row r="7">
      <c r="B7" s="72" t="s">
        <v>932</v>
      </c>
      <c r="C7" s="87" t="s">
        <v>538</v>
      </c>
      <c r="D7" s="74" t="s">
        <v>1640</v>
      </c>
      <c r="E7" s="32" t="str">
        <f>HYPERLINK("https://youtu.be/1F5CXpoEJ3s","channel 1")</f>
        <v>channel 1</v>
      </c>
    </row>
    <row r="8">
      <c r="B8" s="72" t="s">
        <v>1639</v>
      </c>
      <c r="C8" s="12" t="s">
        <v>30</v>
      </c>
      <c r="D8" s="74" t="s">
        <v>1518</v>
      </c>
      <c r="E8" s="84" t="str">
        <f>HYPERLINK("https://youtu.be/gTOAb_e2DI8","channel 2")</f>
        <v>channel 2</v>
      </c>
    </row>
    <row r="9">
      <c r="B9" s="72" t="s">
        <v>932</v>
      </c>
      <c r="C9" s="73" t="s">
        <v>309</v>
      </c>
      <c r="D9" s="74" t="s">
        <v>1496</v>
      </c>
      <c r="E9" s="32" t="str">
        <f>HYPERLINK("https://youtu.be/Wa0FuRz0Tzk","channel 1")</f>
        <v>channel 1</v>
      </c>
    </row>
    <row r="10">
      <c r="B10" s="72" t="s">
        <v>1640</v>
      </c>
      <c r="C10" s="73" t="s">
        <v>109</v>
      </c>
      <c r="D10" s="74" t="s">
        <v>1518</v>
      </c>
      <c r="E10" s="84" t="str">
        <f>HYPERLINK("https://youtu.be/NwUAjwXm20c","channel 2")</f>
        <v>channel 2</v>
      </c>
    </row>
    <row r="11">
      <c r="B11" s="72" t="s">
        <v>932</v>
      </c>
      <c r="C11" s="73" t="s">
        <v>124</v>
      </c>
      <c r="D11" s="74" t="s">
        <v>1639</v>
      </c>
      <c r="E11" s="32" t="str">
        <f>HYPERLINK("https://youtu.be/noR7c7__PZ4","channel 1")</f>
        <v>channel 1</v>
      </c>
    </row>
    <row r="12">
      <c r="B12" s="72" t="s">
        <v>1640</v>
      </c>
      <c r="C12" s="73" t="s">
        <v>160</v>
      </c>
      <c r="D12" s="74" t="s">
        <v>1496</v>
      </c>
      <c r="E12" s="84" t="str">
        <f>HYPERLINK("https://youtu.be/splfHfWEO7U","channel 2")</f>
        <v>channel 2</v>
      </c>
    </row>
    <row r="13">
      <c r="B13" s="72" t="s">
        <v>1496</v>
      </c>
      <c r="C13" s="87" t="s">
        <v>522</v>
      </c>
      <c r="D13" s="74" t="s">
        <v>1518</v>
      </c>
      <c r="E13" s="32" t="str">
        <f>HYPERLINK("https://youtu.be/0RxPOC_baBI","channel 1")</f>
        <v>channel 1</v>
      </c>
    </row>
    <row r="14">
      <c r="B14" s="72" t="s">
        <v>1640</v>
      </c>
      <c r="C14" s="12" t="s">
        <v>124</v>
      </c>
      <c r="D14" s="74" t="s">
        <v>1639</v>
      </c>
      <c r="E14" s="84" t="str">
        <f>HYPERLINK("https://youtu.be/MQrFppd6iNo","channel 2")</f>
        <v>channel 2</v>
      </c>
    </row>
    <row r="15">
      <c r="B15" s="72" t="s">
        <v>1518</v>
      </c>
      <c r="C15" s="102" t="s">
        <v>113</v>
      </c>
      <c r="D15" s="74" t="s">
        <v>932</v>
      </c>
      <c r="E15" s="32" t="str">
        <f>HYPERLINK("https://youtu.be/oLgo7yGSpw8","channel 1")</f>
        <v>channel 1</v>
      </c>
    </row>
    <row r="16">
      <c r="B16" s="100" t="s">
        <v>1496</v>
      </c>
      <c r="C16" s="18" t="s">
        <v>138</v>
      </c>
      <c r="D16" s="74" t="s">
        <v>1639</v>
      </c>
      <c r="E16" s="84" t="str">
        <f>HYPERLINK("https://youtu.be/vdq78DRl3Vo","channel 2")</f>
        <v>channel 2</v>
      </c>
    </row>
    <row r="17">
      <c r="B17" s="72" t="s">
        <v>1640</v>
      </c>
      <c r="C17" s="18" t="s">
        <v>18</v>
      </c>
      <c r="D17" s="74" t="s">
        <v>932</v>
      </c>
      <c r="E17" s="32" t="str">
        <f>HYPERLINK("https://youtu.be/7_otEHePiaQ","channel 1")</f>
        <v>channel 1</v>
      </c>
    </row>
    <row r="18">
      <c r="B18" s="72" t="s">
        <v>1518</v>
      </c>
      <c r="C18" s="75" t="s">
        <v>212</v>
      </c>
      <c r="D18" s="74" t="s">
        <v>1639</v>
      </c>
      <c r="E18" s="84" t="str">
        <f>HYPERLINK("https://youtu.be/ZuJn_7CnaAI","channel 2")</f>
        <v>channel 2</v>
      </c>
    </row>
    <row r="19">
      <c r="B19" s="72" t="s">
        <v>1496</v>
      </c>
      <c r="C19" s="75" t="s">
        <v>277</v>
      </c>
      <c r="D19" s="74" t="s">
        <v>932</v>
      </c>
      <c r="E19" s="32" t="str">
        <f>HYPERLINK("https://youtu.be/zrEgp4TuOQg","channel 1")</f>
        <v>channel 1</v>
      </c>
    </row>
    <row r="20">
      <c r="B20" s="72" t="s">
        <v>1518</v>
      </c>
      <c r="C20" s="75" t="s">
        <v>213</v>
      </c>
      <c r="D20" s="74" t="s">
        <v>1640</v>
      </c>
      <c r="E20" s="84" t="str">
        <f>HYPERLINK("https://youtu.be/FQGZjBEsXiw","channel 2")</f>
        <v>channel 2</v>
      </c>
    </row>
    <row r="21">
      <c r="B21" s="72" t="s">
        <v>1639</v>
      </c>
      <c r="C21" s="102" t="s">
        <v>108</v>
      </c>
      <c r="D21" s="74" t="s">
        <v>932</v>
      </c>
      <c r="E21" s="32" t="str">
        <f>HYPERLINK("https://youtu.be/erZQykq-nsM","channel 1")</f>
        <v>channel 1</v>
      </c>
    </row>
    <row r="22">
      <c r="B22" s="72" t="s">
        <v>1496</v>
      </c>
      <c r="C22" s="18" t="s">
        <v>156</v>
      </c>
      <c r="D22" s="74" t="s">
        <v>1640</v>
      </c>
      <c r="E22" s="84" t="str">
        <f>HYPERLINK("https://youtu.be/LuT-l0v9YRo","channel 2")</f>
        <v>channel 2</v>
      </c>
    </row>
    <row r="23">
      <c r="B23" s="2" t="s">
        <v>1343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1641</v>
      </c>
      <c r="C25" s="70" t="s">
        <v>645</v>
      </c>
      <c r="D25" s="71" t="s">
        <v>1642</v>
      </c>
      <c r="E25" s="32" t="str">
        <f>HYPERLINK("https://youtu.be/uxdpcp5iPk0","channel 1")</f>
        <v>channel 1</v>
      </c>
    </row>
    <row r="26">
      <c r="B26" s="72" t="s">
        <v>1643</v>
      </c>
      <c r="C26" s="73" t="s">
        <v>77</v>
      </c>
      <c r="D26" s="74" t="s">
        <v>1644</v>
      </c>
      <c r="E26" s="84" t="str">
        <f>HYPERLINK("https://youtu.be/6pBIfL7raMg","channel 2")</f>
        <v>channel 2</v>
      </c>
    </row>
    <row r="27">
      <c r="B27" s="72" t="s">
        <v>1645</v>
      </c>
      <c r="C27" s="73" t="s">
        <v>42</v>
      </c>
      <c r="D27" s="74" t="s">
        <v>1641</v>
      </c>
      <c r="E27" s="32" t="str">
        <f>HYPERLINK("https://youtu.be/XVQ0szcaimA","channel 1")</f>
        <v>channel 1</v>
      </c>
    </row>
    <row r="28">
      <c r="B28" s="72" t="s">
        <v>1643</v>
      </c>
      <c r="C28" s="73" t="s">
        <v>108</v>
      </c>
      <c r="D28" s="74" t="s">
        <v>1642</v>
      </c>
      <c r="E28" s="84" t="str">
        <f>HYPERLINK("https://youtu.be/VAgw5-pxqOw","channel 2")</f>
        <v>channel 2</v>
      </c>
    </row>
    <row r="29">
      <c r="B29" s="72" t="s">
        <v>1645</v>
      </c>
      <c r="C29" s="73" t="s">
        <v>148</v>
      </c>
      <c r="D29" s="74" t="s">
        <v>1644</v>
      </c>
      <c r="E29" s="32" t="str">
        <f>HYPERLINK("https://youtu.be/a43lugEzb74","channel 1")</f>
        <v>channel 1</v>
      </c>
    </row>
    <row r="30">
      <c r="B30" s="72" t="s">
        <v>1643</v>
      </c>
      <c r="C30" s="73" t="s">
        <v>145</v>
      </c>
      <c r="D30" s="74" t="s">
        <v>1641</v>
      </c>
      <c r="E30" s="84" t="str">
        <f>HYPERLINK("https://youtu.be/DnrDEZShtjE","channel 2")</f>
        <v>channel 2</v>
      </c>
    </row>
    <row r="31">
      <c r="B31" s="72" t="s">
        <v>1645</v>
      </c>
      <c r="C31" s="73" t="s">
        <v>318</v>
      </c>
      <c r="D31" s="74" t="s">
        <v>1642</v>
      </c>
      <c r="E31" s="32" t="str">
        <f>HYPERLINK("https://youtu.be/vnVADCVTTnQ","channel 1")</f>
        <v>channel 1</v>
      </c>
    </row>
    <row r="32">
      <c r="B32" s="72" t="s">
        <v>1644</v>
      </c>
      <c r="C32" s="73" t="s">
        <v>304</v>
      </c>
      <c r="D32" s="74" t="s">
        <v>1641</v>
      </c>
      <c r="E32" s="84" t="str">
        <f>HYPERLINK("https://youtu.be/TdQyBEQyRTo","channel 2")</f>
        <v>channel 2</v>
      </c>
    </row>
    <row r="33">
      <c r="B33" s="72" t="s">
        <v>1645</v>
      </c>
      <c r="C33" s="73" t="s">
        <v>88</v>
      </c>
      <c r="D33" s="72" t="s">
        <v>1643</v>
      </c>
      <c r="E33" s="32" t="str">
        <f>HYPERLINK("https://youtu.be/3DG6iPU1BLY","channel 1")</f>
        <v>channel 1</v>
      </c>
    </row>
    <row r="34">
      <c r="B34" s="72" t="s">
        <v>1644</v>
      </c>
      <c r="C34" s="73" t="s">
        <v>577</v>
      </c>
      <c r="D34" s="74" t="s">
        <v>1642</v>
      </c>
      <c r="E34" s="84" t="str">
        <f>HYPERLINK("https://youtu.be/vSTFgeJkexY","channel 2")</f>
        <v>channel 2</v>
      </c>
    </row>
    <row r="35">
      <c r="B35" s="72" t="s">
        <v>1642</v>
      </c>
      <c r="C35" s="73" t="s">
        <v>311</v>
      </c>
      <c r="D35" s="74" t="s">
        <v>1641</v>
      </c>
      <c r="E35" s="32" t="str">
        <f>HYPERLINK("https://youtu.be/06-rmO2A7Mk","channel 1")</f>
        <v>channel 1</v>
      </c>
    </row>
    <row r="36">
      <c r="B36" s="72" t="s">
        <v>1644</v>
      </c>
      <c r="C36" s="73" t="s">
        <v>384</v>
      </c>
      <c r="D36" s="72" t="s">
        <v>1643</v>
      </c>
      <c r="E36" s="84" t="str">
        <f>HYPERLINK("https://youtu.be/5fFgmd_Wao0","channel 2")</f>
        <v>channel 2</v>
      </c>
    </row>
    <row r="37">
      <c r="B37" s="72" t="s">
        <v>1641</v>
      </c>
      <c r="C37" s="73" t="s">
        <v>35</v>
      </c>
      <c r="D37" s="74" t="s">
        <v>1645</v>
      </c>
      <c r="E37" s="32" t="str">
        <f>HYPERLINK("https://youtu.be/BC5qMeu_tgA","channel 1")</f>
        <v>channel 1</v>
      </c>
    </row>
    <row r="38">
      <c r="B38" s="72" t="s">
        <v>1642</v>
      </c>
      <c r="C38" s="73" t="s">
        <v>1646</v>
      </c>
      <c r="D38" s="72" t="s">
        <v>1643</v>
      </c>
      <c r="E38" s="84" t="str">
        <f>HYPERLINK("https://youtu.be/B-n5-wDkvvc","channel 2")</f>
        <v>channel 2</v>
      </c>
    </row>
    <row r="39">
      <c r="B39" s="72" t="s">
        <v>1644</v>
      </c>
      <c r="C39" s="73" t="s">
        <v>871</v>
      </c>
      <c r="D39" s="74" t="s">
        <v>1645</v>
      </c>
      <c r="E39" s="32" t="str">
        <f>HYPERLINK("https://youtu.be/jPaESiX4560","channel 1")</f>
        <v>channel 1</v>
      </c>
    </row>
    <row r="40">
      <c r="B40" s="72" t="s">
        <v>1641</v>
      </c>
      <c r="C40" s="73" t="s">
        <v>24</v>
      </c>
      <c r="D40" s="72" t="s">
        <v>1643</v>
      </c>
      <c r="E40" s="84" t="str">
        <f>HYPERLINK("https://youtu.be/2V_UoV_f7A8","channel 2")</f>
        <v>channel 2</v>
      </c>
    </row>
    <row r="41">
      <c r="B41" s="72" t="s">
        <v>1642</v>
      </c>
      <c r="C41" s="73" t="s">
        <v>278</v>
      </c>
      <c r="D41" s="74" t="s">
        <v>1645</v>
      </c>
      <c r="E41" s="32" t="str">
        <f>HYPERLINK("https://youtu.be/FUGryVbglTY","channel 1")</f>
        <v>channel 1</v>
      </c>
    </row>
    <row r="42">
      <c r="B42" s="72" t="s">
        <v>1641</v>
      </c>
      <c r="C42" s="73" t="s">
        <v>160</v>
      </c>
      <c r="D42" s="74" t="s">
        <v>1644</v>
      </c>
      <c r="E42" s="84" t="str">
        <f>HYPERLINK("https://youtu.be/ta8iAotaN2I","channel 2")</f>
        <v>channel 2</v>
      </c>
    </row>
    <row r="43">
      <c r="B43" s="72" t="s">
        <v>1643</v>
      </c>
      <c r="C43" s="73" t="s">
        <v>160</v>
      </c>
      <c r="D43" s="74" t="s">
        <v>1645</v>
      </c>
      <c r="E43" s="32" t="str">
        <f>HYPERLINK("https://youtu.be/FwnUP3DFdFM","channel 1")</f>
        <v>channel 1</v>
      </c>
    </row>
    <row r="44">
      <c r="B44" s="72" t="s">
        <v>1642</v>
      </c>
      <c r="C44" s="75" t="s">
        <v>319</v>
      </c>
      <c r="D44" s="74" t="s">
        <v>1644</v>
      </c>
      <c r="E44" s="84" t="str">
        <f>HYPERLINK("https://youtu.be/-t9Hf-QrMSM","channel 2")</f>
        <v>channel 2</v>
      </c>
    </row>
    <row r="45">
      <c r="B45" s="2" t="s">
        <v>377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1647</v>
      </c>
      <c r="C47" s="70" t="s">
        <v>34</v>
      </c>
      <c r="D47" s="71" t="s">
        <v>1648</v>
      </c>
      <c r="E47" s="32" t="str">
        <f>HYPERLINK("https://youtu.be/C-yI4TzGqVY","channel 1")</f>
        <v>channel 1</v>
      </c>
    </row>
    <row r="48">
      <c r="B48" s="72" t="s">
        <v>1649</v>
      </c>
      <c r="C48" s="73" t="s">
        <v>24</v>
      </c>
      <c r="D48" s="74" t="s">
        <v>1650</v>
      </c>
      <c r="E48" s="84" t="str">
        <f>HYPERLINK("https://youtu.be/pJMdRUPgzl8","channel 2")</f>
        <v>channel 2</v>
      </c>
    </row>
    <row r="49">
      <c r="B49" s="72" t="s">
        <v>1593</v>
      </c>
      <c r="C49" s="73" t="s">
        <v>145</v>
      </c>
      <c r="D49" s="74" t="s">
        <v>1647</v>
      </c>
      <c r="E49" s="32" t="str">
        <f>HYPERLINK("https://youtu.be/gTzlhOJcEmE","channel 1")</f>
        <v>channel 1</v>
      </c>
    </row>
    <row r="50">
      <c r="B50" s="72" t="s">
        <v>1649</v>
      </c>
      <c r="C50" s="73" t="s">
        <v>143</v>
      </c>
      <c r="D50" s="74" t="s">
        <v>1648</v>
      </c>
      <c r="E50" s="84" t="str">
        <f>HYPERLINK("https://youtu.be/Kn5maeBIQJ4","channel 2")</f>
        <v>channel 2</v>
      </c>
    </row>
    <row r="51">
      <c r="B51" s="72" t="s">
        <v>1593</v>
      </c>
      <c r="C51" s="73" t="s">
        <v>74</v>
      </c>
      <c r="D51" s="74" t="s">
        <v>1650</v>
      </c>
      <c r="E51" s="32" t="str">
        <f>HYPERLINK("https://youtu.be/VEY2eijP2UY","channel 1")</f>
        <v>channel 1</v>
      </c>
    </row>
    <row r="52">
      <c r="B52" s="72" t="s">
        <v>1649</v>
      </c>
      <c r="C52" s="73" t="s">
        <v>74</v>
      </c>
      <c r="D52" s="74" t="s">
        <v>1647</v>
      </c>
      <c r="E52" s="84" t="str">
        <f>HYPERLINK("https://youtu.be/hVZuR-qTYSQ","channel 2")</f>
        <v>channel 2</v>
      </c>
    </row>
    <row r="53">
      <c r="B53" s="72" t="s">
        <v>1593</v>
      </c>
      <c r="C53" s="73" t="s">
        <v>277</v>
      </c>
      <c r="D53" s="74" t="s">
        <v>1648</v>
      </c>
      <c r="E53" s="32" t="str">
        <f>HYPERLINK("https://youtu.be/UtuBNc1Wnf4","channel 1")</f>
        <v>channel 1</v>
      </c>
    </row>
    <row r="54">
      <c r="B54" s="72" t="s">
        <v>1650</v>
      </c>
      <c r="C54" s="73" t="s">
        <v>545</v>
      </c>
      <c r="D54" s="74" t="s">
        <v>1647</v>
      </c>
      <c r="E54" s="84" t="str">
        <f>HYPERLINK("https://youtu.be/e1G_cCfTmlU","channel 2")</f>
        <v>channel 2</v>
      </c>
    </row>
    <row r="55">
      <c r="B55" s="72" t="s">
        <v>1593</v>
      </c>
      <c r="C55" s="73" t="s">
        <v>84</v>
      </c>
      <c r="D55" s="74" t="s">
        <v>1649</v>
      </c>
      <c r="E55" s="32" t="str">
        <f>HYPERLINK("https://youtu.be/sR7-s4PTjEQ","channel 1")</f>
        <v>channel 1</v>
      </c>
    </row>
    <row r="56">
      <c r="B56" s="72" t="s">
        <v>1650</v>
      </c>
      <c r="C56" s="73" t="s">
        <v>216</v>
      </c>
      <c r="D56" s="74" t="s">
        <v>1648</v>
      </c>
      <c r="E56" s="84" t="str">
        <f>HYPERLINK("https://youtu.be/ZrOUr2JIgcQ","channel 2")</f>
        <v>channel 2</v>
      </c>
    </row>
    <row r="57">
      <c r="B57" s="72" t="s">
        <v>1648</v>
      </c>
      <c r="C57" s="73" t="s">
        <v>318</v>
      </c>
      <c r="D57" s="74" t="s">
        <v>1647</v>
      </c>
      <c r="E57" s="32" t="str">
        <f>HYPERLINK("https://youtu.be/WAAfHIy4WeM","channel 1")</f>
        <v>channel 1</v>
      </c>
    </row>
    <row r="58">
      <c r="B58" s="72" t="s">
        <v>1650</v>
      </c>
      <c r="C58" s="73" t="s">
        <v>24</v>
      </c>
      <c r="D58" s="74" t="s">
        <v>1649</v>
      </c>
      <c r="E58" s="84" t="str">
        <f>HYPERLINK("https://youtu.be/cZriLk4HcGA","channel 2")</f>
        <v>channel 2</v>
      </c>
    </row>
    <row r="59">
      <c r="B59" s="72" t="s">
        <v>1647</v>
      </c>
      <c r="C59" s="75" t="s">
        <v>163</v>
      </c>
      <c r="D59" s="74" t="s">
        <v>1593</v>
      </c>
      <c r="E59" s="32" t="str">
        <f>HYPERLINK("https://youtu.be/bGrAbEGSi98","channel 1")</f>
        <v>channel 1</v>
      </c>
    </row>
    <row r="60">
      <c r="B60" s="100" t="s">
        <v>1648</v>
      </c>
      <c r="C60" s="75" t="s">
        <v>46</v>
      </c>
      <c r="D60" s="74" t="s">
        <v>1649</v>
      </c>
      <c r="E60" s="84" t="str">
        <f>HYPERLINK("https://youtu.be/iVfMTw185RA","channel 2")</f>
        <v>channel 2</v>
      </c>
    </row>
    <row r="61">
      <c r="B61" s="72" t="s">
        <v>1650</v>
      </c>
      <c r="C61" s="75" t="s">
        <v>364</v>
      </c>
      <c r="D61" s="74" t="s">
        <v>1593</v>
      </c>
      <c r="E61" s="32" t="str">
        <f>HYPERLINK("https://youtu.be/Et-UjLGsgGA","channel 1")</f>
        <v>channel 1</v>
      </c>
    </row>
    <row r="62">
      <c r="B62" s="72" t="s">
        <v>1647</v>
      </c>
      <c r="C62" s="75" t="s">
        <v>466</v>
      </c>
      <c r="D62" s="74" t="s">
        <v>1649</v>
      </c>
      <c r="E62" s="84" t="str">
        <f>HYPERLINK("https://youtu.be/elJM-kbER1g","channel 2")</f>
        <v>channel 2</v>
      </c>
    </row>
    <row r="63">
      <c r="B63" s="72" t="s">
        <v>1648</v>
      </c>
      <c r="C63" s="75" t="s">
        <v>574</v>
      </c>
      <c r="D63" s="74" t="s">
        <v>1593</v>
      </c>
      <c r="E63" s="32" t="str">
        <f>HYPERLINK("https://youtu.be/igxVpX2IKVI","channel 1")</f>
        <v>channel 1</v>
      </c>
    </row>
    <row r="64">
      <c r="B64" s="72" t="s">
        <v>1647</v>
      </c>
      <c r="C64" s="75" t="s">
        <v>477</v>
      </c>
      <c r="D64" s="74" t="s">
        <v>1650</v>
      </c>
      <c r="E64" s="84" t="str">
        <f>HYPERLINK("https://youtu.be/_qOuliuy23Y","channel 2")</f>
        <v>channel 2</v>
      </c>
    </row>
    <row r="65">
      <c r="B65" s="72" t="s">
        <v>1649</v>
      </c>
      <c r="C65" s="75" t="s">
        <v>180</v>
      </c>
      <c r="D65" s="74" t="s">
        <v>1593</v>
      </c>
      <c r="E65" s="32" t="str">
        <f>HYPERLINK("https://youtu.be/ckvwVlLWNWI","channel 1")</f>
        <v>channel 1</v>
      </c>
    </row>
    <row r="66">
      <c r="B66" s="72" t="s">
        <v>1648</v>
      </c>
      <c r="C66" s="75" t="s">
        <v>347</v>
      </c>
      <c r="D66" s="74" t="s">
        <v>1650</v>
      </c>
      <c r="E66" s="84" t="str">
        <f>HYPERLINK("https://youtu.be/pdnzS79c_ms","channel 2")</f>
        <v>channel 2</v>
      </c>
    </row>
    <row r="67">
      <c r="B67" s="2" t="s">
        <v>386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1411</v>
      </c>
      <c r="C69" s="70" t="s">
        <v>124</v>
      </c>
      <c r="D69" s="71" t="s">
        <v>1413</v>
      </c>
      <c r="E69" s="32" t="str">
        <f>HYPERLINK("https://youtu.be/y9Hi7XbqHoY","channel 1")</f>
        <v>channel 1</v>
      </c>
    </row>
    <row r="70">
      <c r="B70" s="72" t="s">
        <v>1535</v>
      </c>
      <c r="C70" s="73" t="s">
        <v>54</v>
      </c>
      <c r="D70" s="74" t="s">
        <v>1206</v>
      </c>
      <c r="E70" s="84" t="str">
        <f>HYPERLINK("https://youtu.be/Q4C1TiqfXoE","channel 2")</f>
        <v>channel 2</v>
      </c>
    </row>
    <row r="71">
      <c r="B71" s="72" t="s">
        <v>1651</v>
      </c>
      <c r="C71" s="73" t="s">
        <v>104</v>
      </c>
      <c r="D71" s="74" t="s">
        <v>1411</v>
      </c>
      <c r="E71" s="32" t="str">
        <f>HYPERLINK("https://youtu.be/HRhM2fhZ9vI","channel 1")</f>
        <v>channel 1</v>
      </c>
    </row>
    <row r="72">
      <c r="B72" s="72" t="s">
        <v>1535</v>
      </c>
      <c r="C72" s="73" t="s">
        <v>160</v>
      </c>
      <c r="D72" s="74" t="s">
        <v>1413</v>
      </c>
      <c r="E72" s="84" t="str">
        <f>HYPERLINK("https://youtu.be/fid1qTFYfRs","channel 2")</f>
        <v>channel 2</v>
      </c>
    </row>
    <row r="73">
      <c r="B73" s="72" t="s">
        <v>1651</v>
      </c>
      <c r="C73" s="73" t="s">
        <v>1652</v>
      </c>
      <c r="D73" s="74" t="s">
        <v>1206</v>
      </c>
      <c r="E73" s="32" t="str">
        <f>HYPERLINK("https://youtu.be/FXFyBtzjhT0","channel 1")</f>
        <v>channel 1</v>
      </c>
    </row>
    <row r="74">
      <c r="B74" s="72" t="s">
        <v>1535</v>
      </c>
      <c r="C74" s="73" t="s">
        <v>297</v>
      </c>
      <c r="D74" s="74" t="s">
        <v>1411</v>
      </c>
      <c r="E74" s="84" t="str">
        <f>HYPERLINK("https://youtu.be/nAGRqoEGUcc","channel 2")</f>
        <v>channel 2</v>
      </c>
    </row>
    <row r="75">
      <c r="B75" s="72" t="s">
        <v>1651</v>
      </c>
      <c r="C75" s="73" t="s">
        <v>24</v>
      </c>
      <c r="D75" s="74" t="s">
        <v>1413</v>
      </c>
      <c r="E75" s="32" t="str">
        <f>HYPERLINK("https://youtu.be/jGhdoUG-YU4","channel 1")</f>
        <v>channel 1</v>
      </c>
    </row>
    <row r="76">
      <c r="B76" s="72" t="s">
        <v>1206</v>
      </c>
      <c r="C76" s="73" t="s">
        <v>574</v>
      </c>
      <c r="D76" s="74" t="s">
        <v>1411</v>
      </c>
      <c r="E76" s="84" t="str">
        <f>HYPERLINK("https://youtu.be/k2L28tMwbvY","channel 2")</f>
        <v>channel 2</v>
      </c>
    </row>
    <row r="77">
      <c r="B77" s="72" t="s">
        <v>1651</v>
      </c>
      <c r="C77" s="73" t="s">
        <v>103</v>
      </c>
      <c r="D77" s="74" t="s">
        <v>1535</v>
      </c>
      <c r="E77" s="32" t="str">
        <f>HYPERLINK("https://youtu.be/ZxmmONwfDlo","channel 1")</f>
        <v>channel 1</v>
      </c>
    </row>
    <row r="78">
      <c r="B78" s="72" t="s">
        <v>1206</v>
      </c>
      <c r="C78" s="73" t="s">
        <v>384</v>
      </c>
      <c r="D78" s="74" t="s">
        <v>1413</v>
      </c>
      <c r="E78" s="84" t="str">
        <f>HYPERLINK("https://youtu.be/X6-QTJ34SIo","channel 2")</f>
        <v>channel 2</v>
      </c>
    </row>
    <row r="79">
      <c r="B79" s="72" t="s">
        <v>1413</v>
      </c>
      <c r="C79" s="73" t="s">
        <v>49</v>
      </c>
      <c r="D79" s="74" t="s">
        <v>1411</v>
      </c>
      <c r="E79" s="32" t="str">
        <f>HYPERLINK("https://youtu.be/6KMClmSuLLY","channel 1")</f>
        <v>channel 1</v>
      </c>
    </row>
    <row r="80">
      <c r="B80" s="72" t="s">
        <v>1206</v>
      </c>
      <c r="C80" s="73" t="s">
        <v>90</v>
      </c>
      <c r="D80" s="74" t="s">
        <v>1535</v>
      </c>
      <c r="E80" s="84" t="str">
        <f>HYPERLINK("https://youtu.be/x--DKXLW5zo","channel 2")</f>
        <v>channel 2</v>
      </c>
    </row>
    <row r="81">
      <c r="B81" s="72" t="s">
        <v>1411</v>
      </c>
      <c r="C81" s="75" t="s">
        <v>160</v>
      </c>
      <c r="D81" s="74" t="s">
        <v>1651</v>
      </c>
      <c r="E81" s="32" t="str">
        <f>HYPERLINK("https://youtu.be/MACePr7dG2o","channel 1")</f>
        <v>channel 1</v>
      </c>
    </row>
    <row r="82">
      <c r="B82" s="100" t="s">
        <v>1413</v>
      </c>
      <c r="C82" s="75" t="s">
        <v>49</v>
      </c>
      <c r="D82" s="74" t="s">
        <v>1535</v>
      </c>
      <c r="E82" s="84" t="str">
        <f>HYPERLINK("https://youtu.be/tUdkVhHQ0iE","channel 2")</f>
        <v>channel 2</v>
      </c>
    </row>
    <row r="83">
      <c r="B83" s="72" t="s">
        <v>1206</v>
      </c>
      <c r="C83" s="75" t="s">
        <v>104</v>
      </c>
      <c r="D83" s="74" t="s">
        <v>1651</v>
      </c>
      <c r="E83" s="32" t="str">
        <f>HYPERLINK("https://youtu.be/FTz38LQEMeA","channel 1")</f>
        <v>channel 1</v>
      </c>
    </row>
    <row r="84">
      <c r="B84" s="72" t="s">
        <v>1411</v>
      </c>
      <c r="C84" s="75" t="s">
        <v>109</v>
      </c>
      <c r="D84" s="74" t="s">
        <v>1535</v>
      </c>
      <c r="E84" s="84" t="str">
        <f>HYPERLINK("https://youtu.be/BOb_sPKAqSo","channel 2")</f>
        <v>channel 2</v>
      </c>
    </row>
    <row r="85">
      <c r="B85" s="72" t="s">
        <v>1413</v>
      </c>
      <c r="C85" s="75" t="s">
        <v>193</v>
      </c>
      <c r="D85" s="74" t="s">
        <v>1651</v>
      </c>
      <c r="E85" s="32" t="str">
        <f>HYPERLINK("https://youtu.be/O7n_DKV_DpU","channel 1")</f>
        <v>channel 1</v>
      </c>
    </row>
    <row r="86">
      <c r="B86" s="72" t="s">
        <v>1411</v>
      </c>
      <c r="C86" s="75" t="s">
        <v>190</v>
      </c>
      <c r="D86" s="74" t="s">
        <v>1206</v>
      </c>
      <c r="E86" s="84" t="str">
        <f>HYPERLINK("https://youtu.be/Davi_fZKMcQ","channel 2")</f>
        <v>channel 2</v>
      </c>
    </row>
    <row r="87">
      <c r="B87" s="72" t="s">
        <v>1535</v>
      </c>
      <c r="C87" s="75" t="s">
        <v>460</v>
      </c>
      <c r="D87" s="74" t="s">
        <v>1651</v>
      </c>
      <c r="E87" s="32" t="str">
        <f>HYPERLINK("https://youtu.be/bF36C5C7m6w","channel 1")</f>
        <v>channel 1</v>
      </c>
    </row>
    <row r="88">
      <c r="B88" s="72" t="s">
        <v>1413</v>
      </c>
      <c r="C88" s="75" t="s">
        <v>160</v>
      </c>
      <c r="D88" s="74" t="s">
        <v>1206</v>
      </c>
      <c r="E88" s="84" t="str">
        <f>HYPERLINK("https://youtu.be/2QQ1Vy650-8","channel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1653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1521</v>
      </c>
      <c r="C3" s="87" t="s">
        <v>113</v>
      </c>
      <c r="D3" s="71" t="s">
        <v>1084</v>
      </c>
      <c r="E3" s="103" t="str">
        <f>HYPERLINK("https://youtu.be/_tC8k-LFQZk","channel 1")</f>
        <v>channel 1</v>
      </c>
    </row>
    <row r="4">
      <c r="B4" s="79" t="s">
        <v>1335</v>
      </c>
      <c r="C4" s="12" t="s">
        <v>311</v>
      </c>
      <c r="D4" s="74" t="s">
        <v>1654</v>
      </c>
      <c r="E4" s="103" t="str">
        <f>HYPERLINK("https://youtu.be/HZDoa15VAP4","channel 2")</f>
        <v>channel 2</v>
      </c>
    </row>
    <row r="5">
      <c r="B5" s="72" t="s">
        <v>605</v>
      </c>
      <c r="C5" s="12" t="s">
        <v>218</v>
      </c>
      <c r="D5" s="74" t="s">
        <v>1521</v>
      </c>
      <c r="E5" s="103" t="str">
        <f>HYPERLINK("https://youtu.be/S0f-S7lmCKQ","channel 1")</f>
        <v>channel 1</v>
      </c>
    </row>
    <row r="6">
      <c r="B6" s="79" t="s">
        <v>1335</v>
      </c>
      <c r="C6" s="12" t="s">
        <v>88</v>
      </c>
      <c r="D6" s="74" t="s">
        <v>1084</v>
      </c>
      <c r="E6" s="103" t="str">
        <f>HYPERLINK("https://youtu.be/NJvnKUH3Xs8","channel 2")</f>
        <v>channel 2</v>
      </c>
    </row>
    <row r="7">
      <c r="B7" s="72" t="s">
        <v>605</v>
      </c>
      <c r="C7" s="87" t="s">
        <v>42</v>
      </c>
      <c r="D7" s="74" t="s">
        <v>1654</v>
      </c>
      <c r="E7" s="103" t="str">
        <f>HYPERLINK("https://youtu.be/eEHd7R6pJNI","channel 1")</f>
        <v>channel 1</v>
      </c>
    </row>
    <row r="8">
      <c r="B8" s="79" t="s">
        <v>1335</v>
      </c>
      <c r="C8" s="12" t="s">
        <v>385</v>
      </c>
      <c r="D8" s="74" t="s">
        <v>1521</v>
      </c>
      <c r="E8" s="103" t="str">
        <f>HYPERLINK("https://youtu.be/KFY3OwTEUR8","channel 2")</f>
        <v>channel 2</v>
      </c>
    </row>
    <row r="9">
      <c r="B9" s="72" t="s">
        <v>605</v>
      </c>
      <c r="C9" s="73" t="s">
        <v>179</v>
      </c>
      <c r="D9" s="74" t="s">
        <v>1084</v>
      </c>
      <c r="E9" s="103" t="str">
        <f>HYPERLINK("https://youtu.be/-leK1acPhMg","channel 1")</f>
        <v>channel 1</v>
      </c>
    </row>
    <row r="10">
      <c r="B10" s="72" t="s">
        <v>1654</v>
      </c>
      <c r="C10" s="73" t="s">
        <v>1331</v>
      </c>
      <c r="D10" s="74" t="s">
        <v>1521</v>
      </c>
      <c r="E10" s="103" t="str">
        <f>HYPERLINK("https://youtu.be/Yf9F6Sgom8Q","channel 2")</f>
        <v>channel 2</v>
      </c>
    </row>
    <row r="11">
      <c r="B11" s="72" t="s">
        <v>605</v>
      </c>
      <c r="C11" s="73" t="s">
        <v>350</v>
      </c>
      <c r="D11" s="86" t="s">
        <v>1335</v>
      </c>
      <c r="E11" s="103" t="str">
        <f>HYPERLINK("https://youtu.be/JErf0geanNU","channel 1")</f>
        <v>channel 1</v>
      </c>
    </row>
    <row r="12">
      <c r="B12" s="72" t="s">
        <v>1654</v>
      </c>
      <c r="C12" s="73" t="s">
        <v>337</v>
      </c>
      <c r="D12" s="74" t="s">
        <v>1084</v>
      </c>
      <c r="E12" s="103" t="str">
        <f>HYPERLINK("https://youtu.be/A6_LGIGjcDQ","channel 2")</f>
        <v>channel 2</v>
      </c>
    </row>
    <row r="13">
      <c r="B13" s="72" t="s">
        <v>1084</v>
      </c>
      <c r="C13" s="87" t="s">
        <v>77</v>
      </c>
      <c r="D13" s="74" t="s">
        <v>1521</v>
      </c>
      <c r="E13" s="103" t="str">
        <f>HYPERLINK("https://youtu.be/nxOdM9omDqE","channel 1")</f>
        <v>channel 1</v>
      </c>
    </row>
    <row r="14">
      <c r="B14" s="72" t="s">
        <v>1654</v>
      </c>
      <c r="C14" s="12" t="s">
        <v>223</v>
      </c>
      <c r="D14" s="86" t="s">
        <v>1335</v>
      </c>
      <c r="E14" s="103" t="str">
        <f>HYPERLINK("https://youtu.be/pOqvpx6pa4E","channel 2")</f>
        <v>channel 2</v>
      </c>
    </row>
    <row r="15">
      <c r="B15" s="72" t="s">
        <v>1521</v>
      </c>
      <c r="C15" s="102" t="s">
        <v>103</v>
      </c>
      <c r="D15" s="74" t="s">
        <v>605</v>
      </c>
      <c r="E15" s="103" t="str">
        <f>HYPERLINK("https://youtu.be/g177ZqDiDdY","channel 1")</f>
        <v>channel 1</v>
      </c>
    </row>
    <row r="16">
      <c r="B16" s="100" t="s">
        <v>1084</v>
      </c>
      <c r="C16" s="18" t="s">
        <v>148</v>
      </c>
      <c r="D16" s="86" t="s">
        <v>1335</v>
      </c>
      <c r="E16" s="103" t="str">
        <f>HYPERLINK("https://youtu.be/hAwE6b3r2ZA","channel 2")</f>
        <v>channel 2</v>
      </c>
    </row>
    <row r="17">
      <c r="B17" s="72" t="s">
        <v>1654</v>
      </c>
      <c r="C17" s="18" t="s">
        <v>85</v>
      </c>
      <c r="D17" s="74" t="s">
        <v>605</v>
      </c>
      <c r="E17" s="103" t="str">
        <f>HYPERLINK("https://youtu.be/uUBvtszS55g","channel 1")</f>
        <v>channel 1</v>
      </c>
    </row>
    <row r="18">
      <c r="B18" s="72" t="s">
        <v>1521</v>
      </c>
      <c r="C18" s="75" t="s">
        <v>226</v>
      </c>
      <c r="D18" s="86" t="s">
        <v>1335</v>
      </c>
      <c r="E18" s="103" t="str">
        <f>HYPERLINK("https://youtu.be/S-MSmgo0bEk","channel 2")</f>
        <v>channel 2</v>
      </c>
    </row>
    <row r="19">
      <c r="B19" s="72" t="s">
        <v>1084</v>
      </c>
      <c r="C19" s="75" t="s">
        <v>281</v>
      </c>
      <c r="D19" s="74" t="s">
        <v>605</v>
      </c>
      <c r="E19" s="103" t="str">
        <f>HYPERLINK("https://youtu.be/YQViWMEpXp0","channel 1")</f>
        <v>channel 1</v>
      </c>
    </row>
    <row r="20">
      <c r="B20" s="72" t="s">
        <v>1521</v>
      </c>
      <c r="C20" s="75" t="s">
        <v>145</v>
      </c>
      <c r="D20" s="74" t="s">
        <v>1654</v>
      </c>
      <c r="E20" s="103" t="str">
        <f>HYPERLINK("https://youtu.be/5-zD0IotLEU","channel 2")</f>
        <v>channel 2</v>
      </c>
    </row>
    <row r="21">
      <c r="B21" s="79" t="s">
        <v>1335</v>
      </c>
      <c r="C21" s="102" t="s">
        <v>37</v>
      </c>
      <c r="D21" s="74" t="s">
        <v>605</v>
      </c>
      <c r="E21" s="103" t="str">
        <f>HYPERLINK("https://youtu.be/XHT7R4i8BqI","channel 1")</f>
        <v>channel 1</v>
      </c>
    </row>
    <row r="22">
      <c r="B22" s="72" t="s">
        <v>1084</v>
      </c>
      <c r="C22" s="18" t="s">
        <v>145</v>
      </c>
      <c r="D22" s="74" t="s">
        <v>1654</v>
      </c>
      <c r="E22" s="103" t="str">
        <f>HYPERLINK("https://youtu.be/aCGlVLPbm7U","channel 2")</f>
        <v>channel 2</v>
      </c>
    </row>
    <row r="23">
      <c r="B23" s="2" t="s">
        <v>676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1656</v>
      </c>
      <c r="C25" s="70" t="s">
        <v>32</v>
      </c>
      <c r="D25" s="71" t="s">
        <v>1657</v>
      </c>
      <c r="E25" s="103" t="str">
        <f>HYPERLINK("https://youtu.be/BDBC-SWoXto","channel 1")</f>
        <v>channel 1</v>
      </c>
    </row>
    <row r="26">
      <c r="B26" s="79" t="s">
        <v>1658</v>
      </c>
      <c r="C26" s="73" t="s">
        <v>268</v>
      </c>
      <c r="D26" s="74" t="s">
        <v>1659</v>
      </c>
      <c r="E26" s="103" t="str">
        <f>HYPERLINK("https://youtu.be/heEhujUhAm4","channel 2")</f>
        <v>channel 2</v>
      </c>
    </row>
    <row r="27">
      <c r="B27" s="72" t="s">
        <v>1660</v>
      </c>
      <c r="C27" s="73" t="s">
        <v>358</v>
      </c>
      <c r="D27" s="74" t="s">
        <v>1656</v>
      </c>
      <c r="E27" s="103" t="str">
        <f>HYPERLINK("https://youtu.be/z6bYQtKrqU4","channel 1")</f>
        <v>channel 1</v>
      </c>
    </row>
    <row r="28">
      <c r="B28" s="79" t="s">
        <v>1658</v>
      </c>
      <c r="C28" s="73" t="s">
        <v>742</v>
      </c>
      <c r="D28" s="74" t="s">
        <v>1657</v>
      </c>
      <c r="E28" s="103" t="str">
        <f>HYPERLINK("https://youtu.be/-VbKWSIqAfQ","channel 2")</f>
        <v>channel 2</v>
      </c>
    </row>
    <row r="29">
      <c r="B29" s="72" t="s">
        <v>1660</v>
      </c>
      <c r="C29" s="73" t="s">
        <v>157</v>
      </c>
      <c r="D29" s="74" t="s">
        <v>1659</v>
      </c>
      <c r="E29" s="103" t="str">
        <f>HYPERLINK("https://youtu.be/M058wvdAWGA","channel 1")</f>
        <v>channel 1</v>
      </c>
    </row>
    <row r="30">
      <c r="B30" s="79" t="s">
        <v>1658</v>
      </c>
      <c r="C30" s="73" t="s">
        <v>37</v>
      </c>
      <c r="D30" s="74" t="s">
        <v>1656</v>
      </c>
      <c r="E30" s="103" t="str">
        <f>HYPERLINK("https://youtu.be/wh2cvoUrdbM","channel 2")</f>
        <v>channel 2</v>
      </c>
    </row>
    <row r="31">
      <c r="B31" s="72" t="s">
        <v>1660</v>
      </c>
      <c r="C31" s="73" t="s">
        <v>276</v>
      </c>
      <c r="D31" s="74" t="s">
        <v>1657</v>
      </c>
      <c r="E31" s="103" t="str">
        <f>HYPERLINK("https://youtu.be/iaV948RkGcQ","channel 1")</f>
        <v>channel 1</v>
      </c>
    </row>
    <row r="32">
      <c r="B32" s="72" t="s">
        <v>1659</v>
      </c>
      <c r="C32" s="73" t="s">
        <v>59</v>
      </c>
      <c r="D32" s="74" t="s">
        <v>1656</v>
      </c>
      <c r="E32" s="103" t="str">
        <f>HYPERLINK("https://youtu.be/cs6jT_sMFxc","channel 2")</f>
        <v>channel 2</v>
      </c>
    </row>
    <row r="33">
      <c r="B33" s="72" t="s">
        <v>1660</v>
      </c>
      <c r="C33" s="73" t="s">
        <v>337</v>
      </c>
      <c r="D33" s="79" t="s">
        <v>1658</v>
      </c>
      <c r="E33" s="103" t="str">
        <f>HYPERLINK("https://youtu.be/-iV-K56D7BQ","channel 1")</f>
        <v>channel 1</v>
      </c>
    </row>
    <row r="34">
      <c r="B34" s="72" t="s">
        <v>1659</v>
      </c>
      <c r="C34" s="73" t="s">
        <v>101</v>
      </c>
      <c r="D34" s="74" t="s">
        <v>1657</v>
      </c>
      <c r="E34" s="103" t="str">
        <f>HYPERLINK("https://youtu.be/mCAazsyWhSA","channel 2")</f>
        <v>channel 2</v>
      </c>
    </row>
    <row r="35">
      <c r="B35" s="72" t="s">
        <v>1657</v>
      </c>
      <c r="C35" s="73" t="s">
        <v>107</v>
      </c>
      <c r="D35" s="74" t="s">
        <v>1656</v>
      </c>
      <c r="E35" s="103" t="str">
        <f>HYPERLINK("https://youtu.be/wLxrCk8oEcQ","channel 1")</f>
        <v>channel 1</v>
      </c>
    </row>
    <row r="36">
      <c r="B36" s="72" t="s">
        <v>1659</v>
      </c>
      <c r="C36" s="73" t="s">
        <v>84</v>
      </c>
      <c r="D36" s="79" t="s">
        <v>1658</v>
      </c>
      <c r="E36" s="103" t="str">
        <f>HYPERLINK("https://youtu.be/1-LaNqXAGLE","channel 2")</f>
        <v>channel 2</v>
      </c>
    </row>
    <row r="37">
      <c r="B37" s="72" t="s">
        <v>1656</v>
      </c>
      <c r="C37" s="73" t="s">
        <v>32</v>
      </c>
      <c r="D37" s="74" t="s">
        <v>1660</v>
      </c>
      <c r="E37" s="103" t="str">
        <f>HYPERLINK("https://youtu.be/MrM_1NbgDoU","channel 1")</f>
        <v>channel 1</v>
      </c>
    </row>
    <row r="38">
      <c r="B38" s="72" t="s">
        <v>1657</v>
      </c>
      <c r="C38" s="73" t="s">
        <v>117</v>
      </c>
      <c r="D38" s="79" t="s">
        <v>1658</v>
      </c>
      <c r="E38" s="103" t="str">
        <f>HYPERLINK("https://youtu.be/WzX7ru6GnH0","channel 2")</f>
        <v>channel 2</v>
      </c>
    </row>
    <row r="39">
      <c r="B39" s="72" t="s">
        <v>1659</v>
      </c>
      <c r="C39" s="73" t="s">
        <v>74</v>
      </c>
      <c r="D39" s="74" t="s">
        <v>1660</v>
      </c>
      <c r="E39" s="103" t="str">
        <f>HYPERLINK("https://youtu.be/Tmc_Y__TcJ8","channel 1")</f>
        <v>channel 1</v>
      </c>
    </row>
    <row r="40">
      <c r="B40" s="72" t="s">
        <v>1656</v>
      </c>
      <c r="C40" s="73" t="s">
        <v>46</v>
      </c>
      <c r="D40" s="79" t="s">
        <v>1658</v>
      </c>
      <c r="E40" s="103" t="str">
        <f>HYPERLINK("https://youtu.be/CEwI6QV7Vuk","channel 2")</f>
        <v>channel 2</v>
      </c>
    </row>
    <row r="41">
      <c r="B41" s="72" t="s">
        <v>1657</v>
      </c>
      <c r="C41" s="73" t="s">
        <v>477</v>
      </c>
      <c r="D41" s="74" t="s">
        <v>1660</v>
      </c>
      <c r="E41" s="80" t="s">
        <v>26</v>
      </c>
    </row>
    <row r="42">
      <c r="B42" s="72" t="s">
        <v>1656</v>
      </c>
      <c r="C42" s="73" t="s">
        <v>138</v>
      </c>
      <c r="D42" s="74" t="s">
        <v>1659</v>
      </c>
      <c r="E42" s="103" t="str">
        <f>HYPERLINK("https://youtu.be/a1_0yWthw1k","channel 2")</f>
        <v>channel 2</v>
      </c>
    </row>
    <row r="43">
      <c r="B43" s="79" t="s">
        <v>1658</v>
      </c>
      <c r="C43" s="73" t="s">
        <v>347</v>
      </c>
      <c r="D43" s="74" t="s">
        <v>1660</v>
      </c>
      <c r="E43" s="103" t="str">
        <f>HYPERLINK("https://youtu.be/lgZ2DZ0Yico","channel 1")</f>
        <v>channel 1</v>
      </c>
    </row>
    <row r="44">
      <c r="B44" s="72" t="s">
        <v>1657</v>
      </c>
      <c r="C44" s="75" t="s">
        <v>103</v>
      </c>
      <c r="D44" s="74" t="s">
        <v>1659</v>
      </c>
      <c r="E44" s="103" t="str">
        <f>HYPERLINK("https://youtu.be/_hGuQ14RM5Q","channel 2")</f>
        <v>channel 2</v>
      </c>
    </row>
    <row r="45">
      <c r="B45" s="2" t="s">
        <v>700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644</v>
      </c>
      <c r="C47" s="70" t="s">
        <v>30</v>
      </c>
      <c r="D47" s="71" t="s">
        <v>1661</v>
      </c>
      <c r="E47" s="103" t="str">
        <f>HYPERLINK("https://youtu.be/nl9BD2-QU94","channel 1")</f>
        <v>channel 1</v>
      </c>
    </row>
    <row r="48">
      <c r="B48" s="72" t="s">
        <v>641</v>
      </c>
      <c r="C48" s="73" t="s">
        <v>545</v>
      </c>
      <c r="D48" s="74" t="s">
        <v>1210</v>
      </c>
      <c r="E48" s="103" t="str">
        <f>HYPERLINK("https://youtu.be/tOBH4MQ8ZEY","channel 2")</f>
        <v>channel 2</v>
      </c>
    </row>
    <row r="49">
      <c r="B49" s="72" t="s">
        <v>970</v>
      </c>
      <c r="C49" s="73" t="s">
        <v>522</v>
      </c>
      <c r="D49" s="74" t="s">
        <v>644</v>
      </c>
      <c r="E49" s="103" t="str">
        <f>HYPERLINK("https://youtu.be/wldNNabDiRY","channel 1")</f>
        <v>channel 1</v>
      </c>
    </row>
    <row r="50">
      <c r="B50" s="72" t="s">
        <v>641</v>
      </c>
      <c r="C50" s="73" t="s">
        <v>44</v>
      </c>
      <c r="D50" s="74" t="s">
        <v>1661</v>
      </c>
      <c r="E50" s="103" t="str">
        <f>HYPERLINK("https://youtu.be/daWm3uRqUN8","channel 2")</f>
        <v>channel 2</v>
      </c>
    </row>
    <row r="51">
      <c r="B51" s="72" t="s">
        <v>970</v>
      </c>
      <c r="C51" s="73" t="s">
        <v>109</v>
      </c>
      <c r="D51" s="74" t="s">
        <v>1210</v>
      </c>
      <c r="E51" s="103" t="str">
        <f>HYPERLINK("https://youtu.be/WzMJOZc9uQA","channel 1")</f>
        <v>channel 1</v>
      </c>
    </row>
    <row r="52">
      <c r="B52" s="72" t="s">
        <v>641</v>
      </c>
      <c r="C52" s="73" t="s">
        <v>1663</v>
      </c>
      <c r="D52" s="74" t="s">
        <v>644</v>
      </c>
      <c r="E52" s="103" t="str">
        <f>HYPERLINK("https://youtu.be/Z4Z8wa2tnDY","channel 2")</f>
        <v>channel 2</v>
      </c>
    </row>
    <row r="53">
      <c r="B53" s="72" t="s">
        <v>970</v>
      </c>
      <c r="C53" s="73" t="s">
        <v>34</v>
      </c>
      <c r="D53" s="74" t="s">
        <v>1661</v>
      </c>
      <c r="E53" s="103" t="str">
        <f>HYPERLINK("https://youtu.be/5ytdFlPJTUk","channel 1")</f>
        <v>channel 1</v>
      </c>
    </row>
    <row r="54">
      <c r="B54" s="72" t="s">
        <v>1210</v>
      </c>
      <c r="C54" s="73" t="s">
        <v>99</v>
      </c>
      <c r="D54" s="74" t="s">
        <v>644</v>
      </c>
      <c r="E54" s="103" t="str">
        <f>HYPERLINK("https://youtu.be/bj1e6zPfGI0","channel 2")</f>
        <v>channel 2</v>
      </c>
    </row>
    <row r="55">
      <c r="B55" s="72" t="s">
        <v>970</v>
      </c>
      <c r="C55" s="73" t="s">
        <v>338</v>
      </c>
      <c r="D55" s="74" t="s">
        <v>641</v>
      </c>
      <c r="E55" s="103" t="str">
        <f>HYPERLINK("https://youtu.be/OpmxZA9_FhQ","channel 1")</f>
        <v>channel 1</v>
      </c>
    </row>
    <row r="56">
      <c r="B56" s="72" t="s">
        <v>1210</v>
      </c>
      <c r="C56" s="73" t="s">
        <v>89</v>
      </c>
      <c r="D56" s="74" t="s">
        <v>1661</v>
      </c>
      <c r="E56" s="103" t="str">
        <f>HYPERLINK("https://youtu.be/qseumrSPlTw","channel 2")</f>
        <v>channel 2</v>
      </c>
    </row>
    <row r="57">
      <c r="B57" s="72" t="s">
        <v>1661</v>
      </c>
      <c r="C57" s="73" t="s">
        <v>145</v>
      </c>
      <c r="D57" s="74" t="s">
        <v>644</v>
      </c>
      <c r="E57" s="103" t="str">
        <f>HYPERLINK("https://youtu.be/0Em_8xdXdBU","channel 1")</f>
        <v>channel 1</v>
      </c>
    </row>
    <row r="58">
      <c r="B58" s="72" t="s">
        <v>1210</v>
      </c>
      <c r="C58" s="73" t="s">
        <v>1666</v>
      </c>
      <c r="D58" s="74" t="s">
        <v>641</v>
      </c>
      <c r="E58" s="103" t="str">
        <f>HYPERLINK("https://youtu.be/EJq7tQLVN08","channel 2")</f>
        <v>channel 2</v>
      </c>
    </row>
    <row r="59">
      <c r="B59" s="72" t="s">
        <v>644</v>
      </c>
      <c r="C59" s="75" t="s">
        <v>97</v>
      </c>
      <c r="D59" s="74" t="s">
        <v>970</v>
      </c>
      <c r="E59" s="103" t="str">
        <f>HYPERLINK("https://youtu.be/Mww2y6spw0g","channel 1")</f>
        <v>channel 1</v>
      </c>
    </row>
    <row r="60">
      <c r="B60" s="100" t="s">
        <v>1661</v>
      </c>
      <c r="C60" s="75" t="s">
        <v>1667</v>
      </c>
      <c r="D60" s="74" t="s">
        <v>641</v>
      </c>
      <c r="E60" s="103" t="str">
        <f>HYPERLINK("https://youtu.be/2EqZFfH_RZE","channel 2")</f>
        <v>channel 2</v>
      </c>
    </row>
    <row r="61">
      <c r="B61" s="72" t="s">
        <v>1210</v>
      </c>
      <c r="C61" s="75" t="s">
        <v>854</v>
      </c>
      <c r="D61" s="74" t="s">
        <v>970</v>
      </c>
      <c r="E61" s="103" t="str">
        <f>HYPERLINK("https://youtu.be/Mww2y6spw0g","channel 1")</f>
        <v>channel 1</v>
      </c>
    </row>
    <row r="62">
      <c r="B62" s="72" t="s">
        <v>644</v>
      </c>
      <c r="C62" s="75" t="s">
        <v>213</v>
      </c>
      <c r="D62" s="74" t="s">
        <v>641</v>
      </c>
      <c r="E62" s="103" t="str">
        <f>HYPERLINK("https://youtu.be/2T4hrh1XhDs","channel 2")</f>
        <v>channel 2</v>
      </c>
    </row>
    <row r="63">
      <c r="B63" s="72" t="s">
        <v>1661</v>
      </c>
      <c r="C63" s="75" t="s">
        <v>109</v>
      </c>
      <c r="D63" s="74" t="s">
        <v>970</v>
      </c>
      <c r="E63" s="103" t="str">
        <f>HYPERLINK("https://youtu.be/7Jp177obwUc","channel 1")</f>
        <v>channel 1</v>
      </c>
    </row>
    <row r="64">
      <c r="B64" s="72" t="s">
        <v>644</v>
      </c>
      <c r="C64" s="75" t="s">
        <v>87</v>
      </c>
      <c r="D64" s="74" t="s">
        <v>1210</v>
      </c>
      <c r="E64" s="103" t="str">
        <f>HYPERLINK("https://youtu.be/8H1U4URcCNc","channel 2")</f>
        <v>channel 2</v>
      </c>
    </row>
    <row r="65">
      <c r="B65" s="72" t="s">
        <v>641</v>
      </c>
      <c r="C65" s="75" t="s">
        <v>319</v>
      </c>
      <c r="D65" s="74" t="s">
        <v>970</v>
      </c>
      <c r="E65" s="103" t="str">
        <f>HYPERLINK("https://youtu.be/OFt4u_f0swA","channel 1")</f>
        <v>channel 1</v>
      </c>
    </row>
    <row r="66">
      <c r="B66" s="72" t="s">
        <v>1661</v>
      </c>
      <c r="C66" s="75" t="s">
        <v>538</v>
      </c>
      <c r="D66" s="74" t="s">
        <v>1210</v>
      </c>
      <c r="E66" s="103" t="str">
        <f>HYPERLINK("https://youtu.be/NNeIPXFXKCQ","channel 2")</f>
        <v>channel 2</v>
      </c>
    </row>
    <row r="67">
      <c r="B67" s="2" t="s">
        <v>240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247</v>
      </c>
      <c r="C69" s="70" t="s">
        <v>184</v>
      </c>
      <c r="D69" s="71" t="s">
        <v>997</v>
      </c>
      <c r="E69" s="103" t="str">
        <f>HYPERLINK("https://youtu.be/mVPXRNs-GTY","channel 1")</f>
        <v>channel 1</v>
      </c>
    </row>
    <row r="70">
      <c r="B70" s="72" t="s">
        <v>1668</v>
      </c>
      <c r="C70" s="73" t="s">
        <v>103</v>
      </c>
      <c r="D70" s="74" t="s">
        <v>1669</v>
      </c>
      <c r="E70" s="103" t="str">
        <f>HYPERLINK("https://youtu.be/f4B9j1n1Zvk","channel 2")</f>
        <v>channel 2</v>
      </c>
    </row>
    <row r="71">
      <c r="B71" s="72" t="s">
        <v>713</v>
      </c>
      <c r="C71" s="73" t="s">
        <v>56</v>
      </c>
      <c r="D71" s="74" t="s">
        <v>247</v>
      </c>
      <c r="E71" s="103" t="str">
        <f>HYPERLINK("https://youtu.be/UXPuokRbQzg","channel 1")</f>
        <v>channel 1</v>
      </c>
    </row>
    <row r="72">
      <c r="B72" s="72" t="s">
        <v>1668</v>
      </c>
      <c r="C72" s="73" t="s">
        <v>103</v>
      </c>
      <c r="D72" s="74" t="s">
        <v>997</v>
      </c>
      <c r="E72" s="103" t="str">
        <f>HYPERLINK("https://youtu.be/iXwEDsrLw4E","channel 2")</f>
        <v>channel 2</v>
      </c>
    </row>
    <row r="73">
      <c r="B73" s="72" t="s">
        <v>713</v>
      </c>
      <c r="C73" s="73" t="s">
        <v>538</v>
      </c>
      <c r="D73" s="74" t="s">
        <v>1669</v>
      </c>
      <c r="E73" s="103" t="str">
        <f>HYPERLINK("https://youtu.be/F15F0RcQXdA","channel 1")</f>
        <v>channel 1</v>
      </c>
    </row>
    <row r="74">
      <c r="B74" s="72" t="s">
        <v>1668</v>
      </c>
      <c r="C74" s="73" t="s">
        <v>111</v>
      </c>
      <c r="D74" s="74" t="s">
        <v>247</v>
      </c>
      <c r="E74" s="103" t="str">
        <f>HYPERLINK("https://youtu.be/C9JEBqFM394","channel 2")</f>
        <v>channel 2</v>
      </c>
    </row>
    <row r="75">
      <c r="B75" s="72" t="s">
        <v>713</v>
      </c>
      <c r="C75" s="73" t="s">
        <v>138</v>
      </c>
      <c r="D75" s="74" t="s">
        <v>997</v>
      </c>
      <c r="E75" s="103" t="str">
        <f>HYPERLINK("https://youtu.be/1VNVuWn6X8I","channel 1")</f>
        <v>channel 1</v>
      </c>
    </row>
    <row r="76">
      <c r="B76" s="72" t="s">
        <v>1669</v>
      </c>
      <c r="C76" s="73" t="s">
        <v>56</v>
      </c>
      <c r="D76" s="74" t="s">
        <v>247</v>
      </c>
      <c r="E76" s="103" t="str">
        <f>HYPERLINK("https://youtu.be/jVpMe8LPuFM","channel 2")</f>
        <v>channel 2</v>
      </c>
    </row>
    <row r="77">
      <c r="B77" s="72" t="s">
        <v>713</v>
      </c>
      <c r="C77" s="73" t="s">
        <v>145</v>
      </c>
      <c r="D77" s="74" t="s">
        <v>1668</v>
      </c>
      <c r="E77" s="103" t="str">
        <f>HYPERLINK("https://youtu.be/t4lp7hpYDc0","channel 1")</f>
        <v>channel 1</v>
      </c>
    </row>
    <row r="78">
      <c r="B78" s="72" t="s">
        <v>1669</v>
      </c>
      <c r="C78" s="73" t="s">
        <v>477</v>
      </c>
      <c r="D78" s="74" t="s">
        <v>997</v>
      </c>
      <c r="E78" s="103" t="str">
        <f>HYPERLINK("https://youtu.be/K4gPjmNUZcU","channel 2")</f>
        <v>channel 2</v>
      </c>
    </row>
    <row r="79">
      <c r="B79" s="72" t="s">
        <v>997</v>
      </c>
      <c r="C79" s="73" t="s">
        <v>89</v>
      </c>
      <c r="D79" s="74" t="s">
        <v>247</v>
      </c>
      <c r="E79" s="103" t="str">
        <f>HYPERLINK("https://youtu.be/GAfyDlXrLFc","channel 1")</f>
        <v>channel 1</v>
      </c>
    </row>
    <row r="80">
      <c r="B80" s="72" t="s">
        <v>1669</v>
      </c>
      <c r="C80" s="73" t="s">
        <v>322</v>
      </c>
      <c r="D80" s="74" t="s">
        <v>1668</v>
      </c>
      <c r="E80" s="103" t="str">
        <f>HYPERLINK("https://youtu.be/D5oV-g3w2ys","channel 2")</f>
        <v>channel 2</v>
      </c>
    </row>
    <row r="81">
      <c r="B81" s="72" t="s">
        <v>247</v>
      </c>
      <c r="C81" s="75" t="s">
        <v>46</v>
      </c>
      <c r="D81" s="74" t="s">
        <v>713</v>
      </c>
      <c r="E81" s="103" t="str">
        <f>HYPERLINK("https://youtu.be/dQzWrVsEWHI","channel 1")</f>
        <v>channel 1</v>
      </c>
    </row>
    <row r="82">
      <c r="B82" s="100" t="s">
        <v>997</v>
      </c>
      <c r="C82" s="75" t="s">
        <v>24</v>
      </c>
      <c r="D82" s="74" t="s">
        <v>1668</v>
      </c>
      <c r="E82" s="103" t="str">
        <f>HYPERLINK("https://youtu.be/Z09sGUuJMuI","channel 2")</f>
        <v>channel 2</v>
      </c>
    </row>
    <row r="83">
      <c r="B83" s="72" t="s">
        <v>1669</v>
      </c>
      <c r="C83" s="75" t="s">
        <v>93</v>
      </c>
      <c r="D83" s="74" t="s">
        <v>713</v>
      </c>
      <c r="E83" s="103" t="str">
        <f>HYPERLINK("https://youtu.be/VgXoy_uM4hc","channel 1")</f>
        <v>channel 1</v>
      </c>
    </row>
    <row r="84">
      <c r="B84" s="72" t="s">
        <v>247</v>
      </c>
      <c r="C84" s="75" t="s">
        <v>297</v>
      </c>
      <c r="D84" s="74" t="s">
        <v>1668</v>
      </c>
      <c r="E84" s="103" t="str">
        <f>HYPERLINK("https://youtu.be/OIKdP8YIk7Y","channel 2")</f>
        <v>channel 2</v>
      </c>
    </row>
    <row r="85">
      <c r="B85" s="72" t="s">
        <v>997</v>
      </c>
      <c r="C85" s="75" t="s">
        <v>145</v>
      </c>
      <c r="D85" s="74" t="s">
        <v>713</v>
      </c>
      <c r="E85" s="103" t="str">
        <f>HYPERLINK("https://youtu.be/QbbS2fjxZdg","channel 1")</f>
        <v>channel 1</v>
      </c>
    </row>
    <row r="86">
      <c r="B86" s="72" t="s">
        <v>247</v>
      </c>
      <c r="C86" s="75" t="s">
        <v>47</v>
      </c>
      <c r="D86" s="74" t="s">
        <v>1669</v>
      </c>
      <c r="E86" s="103" t="str">
        <f>HYPERLINK("https://youtu.be/A9ccO3ZEQ0I","channel 2")</f>
        <v>channel 2</v>
      </c>
    </row>
    <row r="87">
      <c r="B87" s="72" t="s">
        <v>1668</v>
      </c>
      <c r="C87" s="75" t="s">
        <v>97</v>
      </c>
      <c r="D87" s="74" t="s">
        <v>713</v>
      </c>
      <c r="E87" s="103" t="str">
        <f>HYPERLINK("https://youtu.be/hQLpO-hgn0E","channel 1")</f>
        <v>channel 1</v>
      </c>
    </row>
    <row r="88">
      <c r="B88" s="72" t="s">
        <v>997</v>
      </c>
      <c r="C88" s="75" t="s">
        <v>538</v>
      </c>
      <c r="D88" s="74" t="s">
        <v>1669</v>
      </c>
      <c r="E88" s="103" t="str">
        <f>HYPERLINK("https://youtu.be/WpmZ60CeCf0","channel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1655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729</v>
      </c>
      <c r="C3" s="12" t="s">
        <v>97</v>
      </c>
      <c r="D3" s="10" t="s">
        <v>979</v>
      </c>
      <c r="E3" s="103" t="str">
        <f>HYPERLINK("https://youtu.be/6mjtZEAyGC0","channel 1")</f>
        <v>channel 1</v>
      </c>
    </row>
    <row r="4">
      <c r="B4" s="10" t="s">
        <v>1442</v>
      </c>
      <c r="C4" s="12" t="s">
        <v>761</v>
      </c>
      <c r="D4" s="10" t="s">
        <v>981</v>
      </c>
      <c r="E4" s="103" t="str">
        <f>HYPERLINK("https://youtu.be/lAly9xublYE","channel 2")</f>
        <v>channel 2</v>
      </c>
    </row>
    <row r="5">
      <c r="B5" s="10" t="s">
        <v>677</v>
      </c>
      <c r="C5" s="12" t="s">
        <v>104</v>
      </c>
      <c r="D5" s="10" t="s">
        <v>729</v>
      </c>
      <c r="E5" s="103" t="str">
        <f>HYPERLINK("https://youtu.be/JC_5Cba0mHI","channel 1")</f>
        <v>channel 1</v>
      </c>
    </row>
    <row r="6">
      <c r="B6" s="10" t="s">
        <v>1442</v>
      </c>
      <c r="C6" s="12" t="s">
        <v>84</v>
      </c>
      <c r="D6" s="10" t="s">
        <v>979</v>
      </c>
      <c r="E6" s="103" t="str">
        <f>HYPERLINK("https://youtu.be/RauZdXegob8","channel 2")</f>
        <v>channel 2</v>
      </c>
    </row>
    <row r="7">
      <c r="B7" s="10" t="s">
        <v>677</v>
      </c>
      <c r="C7" s="12" t="s">
        <v>148</v>
      </c>
      <c r="D7" s="10" t="s">
        <v>981</v>
      </c>
      <c r="E7" s="103" t="str">
        <f>HYPERLINK("https://youtu.be/6kh-2etiR9c","channel 1")</f>
        <v>channel 1</v>
      </c>
    </row>
    <row r="8">
      <c r="B8" s="10" t="s">
        <v>1442</v>
      </c>
      <c r="C8" s="37" t="s">
        <v>392</v>
      </c>
      <c r="D8" s="10" t="s">
        <v>729</v>
      </c>
      <c r="E8" s="103" t="str">
        <f>HYPERLINK("https://youtu.be/tPQfxY_dM-M","channel 2")</f>
        <v>channel 2</v>
      </c>
    </row>
    <row r="9">
      <c r="B9" s="10" t="s">
        <v>677</v>
      </c>
      <c r="C9" s="12" t="s">
        <v>145</v>
      </c>
      <c r="D9" s="10" t="s">
        <v>979</v>
      </c>
      <c r="E9" s="103" t="str">
        <f>HYPERLINK("https://youtu.be/BHReJNse9d8","channel 1")</f>
        <v>channel 1</v>
      </c>
    </row>
    <row r="10">
      <c r="B10" s="10" t="s">
        <v>981</v>
      </c>
      <c r="C10" s="37" t="s">
        <v>214</v>
      </c>
      <c r="D10" s="10" t="s">
        <v>729</v>
      </c>
      <c r="E10" s="103" t="str">
        <f>HYPERLINK("https://youtu.be/flKdXMb5XNw","channel 2")</f>
        <v>channel 2</v>
      </c>
    </row>
    <row r="11">
      <c r="B11" s="10" t="s">
        <v>677</v>
      </c>
      <c r="C11" s="12" t="s">
        <v>337</v>
      </c>
      <c r="D11" s="10" t="s">
        <v>1442</v>
      </c>
      <c r="E11" s="103" t="str">
        <f>HYPERLINK("https://youtu.be/boYpgd1w3k0","channel 1")</f>
        <v>channel 1</v>
      </c>
    </row>
    <row r="12">
      <c r="B12" s="10" t="s">
        <v>981</v>
      </c>
      <c r="C12" s="12" t="s">
        <v>59</v>
      </c>
      <c r="D12" s="10" t="s">
        <v>979</v>
      </c>
      <c r="E12" s="103" t="str">
        <f>HYPERLINK("https://youtu.be/31Dnjrb0i8E","channel 2")</f>
        <v>channel 2</v>
      </c>
    </row>
    <row r="13">
      <c r="B13" s="10" t="s">
        <v>979</v>
      </c>
      <c r="C13" s="12" t="s">
        <v>77</v>
      </c>
      <c r="D13" s="10" t="s">
        <v>729</v>
      </c>
      <c r="E13" s="103" t="str">
        <f>HYPERLINK("https://youtu.be/y42iu3grOWE","channel 1")</f>
        <v>channel 1</v>
      </c>
    </row>
    <row r="14">
      <c r="B14" s="10" t="s">
        <v>981</v>
      </c>
      <c r="C14" s="12" t="s">
        <v>18</v>
      </c>
      <c r="D14" s="10" t="s">
        <v>1442</v>
      </c>
      <c r="E14" s="103" t="str">
        <f>HYPERLINK("https://youtu.be/iBFzn4VLUUE","channel 2")</f>
        <v>channel 2</v>
      </c>
    </row>
    <row r="15">
      <c r="B15" s="10" t="s">
        <v>729</v>
      </c>
      <c r="C15" s="18" t="s">
        <v>347</v>
      </c>
      <c r="D15" s="10" t="s">
        <v>677</v>
      </c>
      <c r="E15" s="103" t="str">
        <f>HYPERLINK("https://youtu.be/jyFy82TkODc","channel 1")</f>
        <v>channel 1</v>
      </c>
    </row>
    <row r="16">
      <c r="B16" s="104" t="s">
        <v>979</v>
      </c>
      <c r="C16" s="18" t="s">
        <v>43</v>
      </c>
      <c r="D16" s="10" t="s">
        <v>1442</v>
      </c>
      <c r="E16" s="103" t="str">
        <f>HYPERLINK("https://youtu.be/gfom0yxof40","channel 2")</f>
        <v>channel 2</v>
      </c>
    </row>
    <row r="17">
      <c r="B17" s="10" t="s">
        <v>981</v>
      </c>
      <c r="C17" s="18" t="s">
        <v>124</v>
      </c>
      <c r="D17" s="10" t="s">
        <v>677</v>
      </c>
      <c r="E17" s="103" t="str">
        <f>HYPERLINK("https://youtu.be/Pf9z07ashQ4","channel 1")</f>
        <v>channel 1</v>
      </c>
    </row>
    <row r="18">
      <c r="B18" s="10" t="s">
        <v>729</v>
      </c>
      <c r="C18" s="105" t="s">
        <v>347</v>
      </c>
      <c r="D18" s="10" t="s">
        <v>1442</v>
      </c>
      <c r="E18" s="103" t="str">
        <f>HYPERLINK("https://youtu.be/nItD-6vJQD8","channel 2")</f>
        <v>channel 2</v>
      </c>
    </row>
    <row r="19">
      <c r="B19" s="10" t="s">
        <v>979</v>
      </c>
      <c r="C19" s="18" t="s">
        <v>145</v>
      </c>
      <c r="D19" s="10" t="s">
        <v>677</v>
      </c>
      <c r="E19" s="103" t="str">
        <f>HYPERLINK("https://youtu.be/BK9r2NFZNow","channel 1")</f>
        <v>channel 1</v>
      </c>
    </row>
    <row r="20">
      <c r="B20" s="10" t="s">
        <v>729</v>
      </c>
      <c r="C20" s="18" t="s">
        <v>37</v>
      </c>
      <c r="D20" s="10" t="s">
        <v>981</v>
      </c>
      <c r="E20" s="103" t="str">
        <f>HYPERLINK("https://youtu.be/Hn0ZUJhxTS8","channel 2")</f>
        <v>channel 2</v>
      </c>
    </row>
    <row r="21">
      <c r="B21" s="10" t="s">
        <v>1442</v>
      </c>
      <c r="C21" s="18" t="s">
        <v>99</v>
      </c>
      <c r="D21" s="10" t="s">
        <v>677</v>
      </c>
      <c r="E21" s="103" t="str">
        <f>HYPERLINK("https://youtu.be/X3zNrmWmUxM","channel 1")</f>
        <v>channel 1</v>
      </c>
    </row>
    <row r="22">
      <c r="B22" s="10" t="s">
        <v>979</v>
      </c>
      <c r="C22" s="18" t="s">
        <v>108</v>
      </c>
      <c r="D22" s="10" t="s">
        <v>981</v>
      </c>
      <c r="E22" s="103" t="str">
        <f>HYPERLINK("https://youtu.be/VdTra2HW3do","channel 2")</f>
        <v>channel 2</v>
      </c>
    </row>
    <row r="23">
      <c r="B23" s="2" t="s">
        <v>579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1324</v>
      </c>
      <c r="C25" s="12" t="s">
        <v>214</v>
      </c>
      <c r="D25" s="10" t="s">
        <v>1662</v>
      </c>
      <c r="E25" s="103" t="str">
        <f>HYPERLINK("https://youtu.be/ijw2mnWJPeg","channel 1")</f>
        <v>channel 1</v>
      </c>
    </row>
    <row r="26">
      <c r="B26" s="10" t="s">
        <v>1664</v>
      </c>
      <c r="C26" s="87" t="s">
        <v>193</v>
      </c>
      <c r="D26" s="10" t="s">
        <v>1665</v>
      </c>
      <c r="E26" s="103" t="str">
        <f>HYPERLINK("https://youtu.be/jAjFBC2ulek","channel 2")</f>
        <v>channel 2</v>
      </c>
    </row>
    <row r="27">
      <c r="B27" s="10" t="s">
        <v>1488</v>
      </c>
      <c r="C27" s="12" t="s">
        <v>393</v>
      </c>
      <c r="D27" s="10" t="s">
        <v>1324</v>
      </c>
      <c r="E27" s="103" t="str">
        <f>HYPERLINK("https://youtu.be/aGR112IaGMY","channel 1")</f>
        <v>channel 1</v>
      </c>
    </row>
    <row r="28">
      <c r="B28" s="10" t="s">
        <v>1664</v>
      </c>
      <c r="C28" s="87" t="s">
        <v>143</v>
      </c>
      <c r="D28" s="10" t="s">
        <v>1662</v>
      </c>
      <c r="E28" s="103" t="str">
        <f>HYPERLINK("https://youtu.be/Fmzw1BYuLaY","channel 2")</f>
        <v>channel 2</v>
      </c>
    </row>
    <row r="29">
      <c r="B29" s="10" t="s">
        <v>1488</v>
      </c>
      <c r="C29" s="12" t="s">
        <v>460</v>
      </c>
      <c r="D29" s="10" t="s">
        <v>1665</v>
      </c>
      <c r="E29" s="103" t="str">
        <f>HYPERLINK("https://youtu.be/2eWEX4NdnX0","channel 1")</f>
        <v>channel 1</v>
      </c>
    </row>
    <row r="30">
      <c r="B30" s="10" t="s">
        <v>1664</v>
      </c>
      <c r="C30" s="87" t="s">
        <v>213</v>
      </c>
      <c r="D30" s="10" t="s">
        <v>1324</v>
      </c>
      <c r="E30" s="103" t="str">
        <f>HYPERLINK("https://youtu.be/9pxuetEa6Z8","channel 2")</f>
        <v>channel 2</v>
      </c>
    </row>
    <row r="31">
      <c r="B31" s="10" t="s">
        <v>1488</v>
      </c>
      <c r="C31" s="12" t="s">
        <v>460</v>
      </c>
      <c r="D31" s="10" t="s">
        <v>1662</v>
      </c>
      <c r="E31" s="103" t="str">
        <f>HYPERLINK("https://youtu.be/fOcBpRbIj1w","channel 1")</f>
        <v>channel 1</v>
      </c>
    </row>
    <row r="32">
      <c r="B32" s="10" t="s">
        <v>1665</v>
      </c>
      <c r="C32" s="87" t="s">
        <v>506</v>
      </c>
      <c r="D32" s="10" t="s">
        <v>1324</v>
      </c>
      <c r="E32" s="103" t="str">
        <f>HYPERLINK("https://youtu.be/N6w4T194YK0","channel 2")</f>
        <v>channel 2</v>
      </c>
    </row>
    <row r="33">
      <c r="B33" s="10" t="s">
        <v>1488</v>
      </c>
      <c r="C33" s="12" t="s">
        <v>30</v>
      </c>
      <c r="D33" s="10" t="s">
        <v>1664</v>
      </c>
      <c r="E33" s="103" t="str">
        <f>HYPERLINK("https://youtu.be/KYGgc2WJjuk","channel 1")</f>
        <v>channel 1</v>
      </c>
    </row>
    <row r="34">
      <c r="B34" s="10" t="s">
        <v>1665</v>
      </c>
      <c r="C34" s="87" t="s">
        <v>33</v>
      </c>
      <c r="D34" s="10" t="s">
        <v>1662</v>
      </c>
      <c r="E34" s="103" t="str">
        <f>HYPERLINK("https://youtu.be/SWxpi5pPGlM","channel 2")</f>
        <v>channel 2</v>
      </c>
    </row>
    <row r="35">
      <c r="B35" s="10" t="s">
        <v>1662</v>
      </c>
      <c r="C35" s="12" t="s">
        <v>132</v>
      </c>
      <c r="D35" s="10" t="s">
        <v>1324</v>
      </c>
      <c r="E35" s="103" t="str">
        <f>HYPERLINK("https://youtu.be/knd3g6DBrWU","channel 1")</f>
        <v>channel 1</v>
      </c>
    </row>
    <row r="36">
      <c r="B36" s="10" t="s">
        <v>1665</v>
      </c>
      <c r="C36" s="87" t="s">
        <v>82</v>
      </c>
      <c r="D36" s="10" t="s">
        <v>1664</v>
      </c>
      <c r="E36" s="103" t="str">
        <f>HYPERLINK("https://youtu.be/1FccIHCfv6A","channel 2")</f>
        <v>channel 2</v>
      </c>
    </row>
    <row r="37">
      <c r="B37" s="10" t="s">
        <v>1324</v>
      </c>
      <c r="C37" s="18" t="s">
        <v>49</v>
      </c>
      <c r="D37" s="10" t="s">
        <v>1488</v>
      </c>
      <c r="E37" s="80" t="s">
        <v>26</v>
      </c>
    </row>
    <row r="38">
      <c r="B38" s="10" t="s">
        <v>1662</v>
      </c>
      <c r="C38" s="102" t="s">
        <v>138</v>
      </c>
      <c r="D38" s="10" t="s">
        <v>1664</v>
      </c>
      <c r="E38" s="103" t="str">
        <f>HYPERLINK("https://youtu.be/yu0YvzdSg-U","channel 2")</f>
        <v>channel 2</v>
      </c>
    </row>
    <row r="39">
      <c r="B39" s="10" t="s">
        <v>1665</v>
      </c>
      <c r="C39" s="18" t="s">
        <v>237</v>
      </c>
      <c r="D39" s="10" t="s">
        <v>1488</v>
      </c>
      <c r="E39" s="103" t="str">
        <f>HYPERLINK("https://youtu.be/O1wajnVLEnA","channel 1")</f>
        <v>channel 1</v>
      </c>
    </row>
    <row r="40">
      <c r="B40" s="10" t="s">
        <v>1324</v>
      </c>
      <c r="C40" s="18" t="s">
        <v>44</v>
      </c>
      <c r="D40" s="10" t="s">
        <v>1664</v>
      </c>
      <c r="E40" s="103" t="str">
        <f>HYPERLINK("https://youtu.be/07ocf_4g62U","channel 2")</f>
        <v>channel 2</v>
      </c>
    </row>
    <row r="41">
      <c r="B41" s="10" t="s">
        <v>1662</v>
      </c>
      <c r="C41" s="18" t="s">
        <v>49</v>
      </c>
      <c r="D41" s="10" t="s">
        <v>1488</v>
      </c>
      <c r="E41" s="103" t="str">
        <f>HYPERLINK("https://youtu.be/8jbDFw6kua8","channel 1")</f>
        <v>channel 1</v>
      </c>
    </row>
    <row r="42">
      <c r="B42" s="10" t="s">
        <v>1324</v>
      </c>
      <c r="C42" s="18" t="s">
        <v>117</v>
      </c>
      <c r="D42" s="10" t="s">
        <v>1665</v>
      </c>
      <c r="E42" s="103" t="str">
        <f>HYPERLINK("https://youtu.be/R27HWHrI8y8","channel 2")</f>
        <v>channel 2</v>
      </c>
    </row>
    <row r="43">
      <c r="B43" s="10" t="s">
        <v>1664</v>
      </c>
      <c r="C43" s="18" t="s">
        <v>141</v>
      </c>
      <c r="D43" s="10" t="s">
        <v>1488</v>
      </c>
      <c r="E43" s="103" t="str">
        <f>HYPERLINK("https://youtu.be/fLo28m2W27c","channel 1")</f>
        <v>channel 1</v>
      </c>
    </row>
    <row r="44">
      <c r="B44" s="10" t="s">
        <v>1662</v>
      </c>
      <c r="C44" s="102" t="s">
        <v>56</v>
      </c>
      <c r="D44" s="10" t="s">
        <v>1665</v>
      </c>
      <c r="E44" s="103" t="str">
        <f>HYPERLINK("https://youtu.be/abSVJ_I_YOQ","channel 2")</f>
        <v>channel 2</v>
      </c>
    </row>
    <row r="45">
      <c r="B45" s="2" t="s">
        <v>971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690</v>
      </c>
      <c r="C47" s="70" t="s">
        <v>46</v>
      </c>
      <c r="D47" s="10" t="s">
        <v>875</v>
      </c>
      <c r="E47" s="103" t="str">
        <f>HYPERLINK("https://youtu.be/F2IAUdcg5t4","channel 1")</f>
        <v>channel 1</v>
      </c>
    </row>
    <row r="48">
      <c r="B48" s="72" t="s">
        <v>985</v>
      </c>
      <c r="C48" s="73" t="s">
        <v>148</v>
      </c>
      <c r="D48" s="72" t="s">
        <v>1078</v>
      </c>
      <c r="E48" s="103" t="str">
        <f>HYPERLINK("https://youtu.be/jrn4LTq6OYg","channel 2")</f>
        <v>channel 2</v>
      </c>
    </row>
    <row r="49">
      <c r="B49" s="72" t="s">
        <v>391</v>
      </c>
      <c r="C49" s="73" t="s">
        <v>278</v>
      </c>
      <c r="D49" s="72" t="s">
        <v>690</v>
      </c>
      <c r="E49" s="103" t="str">
        <f>HYPERLINK("https://youtu.be/iv9NFdCPtjE","channel 1")</f>
        <v>channel 1</v>
      </c>
    </row>
    <row r="50">
      <c r="B50" s="72" t="s">
        <v>985</v>
      </c>
      <c r="C50" s="12" t="s">
        <v>436</v>
      </c>
      <c r="D50" s="106" t="s">
        <v>875</v>
      </c>
      <c r="E50" s="13" t="str">
        <f>HYPERLINK("https://youtu.be/TpOnTvn3UKc","channel 2")</f>
        <v>channel 2</v>
      </c>
      <c r="G50" s="107"/>
    </row>
    <row r="51">
      <c r="B51" s="72" t="s">
        <v>391</v>
      </c>
      <c r="C51" s="12" t="s">
        <v>104</v>
      </c>
      <c r="D51" s="10" t="s">
        <v>1078</v>
      </c>
      <c r="E51" s="13" t="str">
        <f>HYPERLINK("https://youtu.be/xRirDwpiKlk","channel 1")</f>
        <v>channel 1</v>
      </c>
    </row>
    <row r="52">
      <c r="B52" s="72" t="s">
        <v>985</v>
      </c>
      <c r="C52" s="73" t="s">
        <v>278</v>
      </c>
      <c r="D52" s="72" t="s">
        <v>690</v>
      </c>
      <c r="E52" s="103" t="str">
        <f>HYPERLINK("https://youtu.be/imL6cpZSfGc","channel 2")</f>
        <v>channel 2</v>
      </c>
    </row>
    <row r="53">
      <c r="B53" s="72" t="s">
        <v>391</v>
      </c>
      <c r="C53" s="73" t="s">
        <v>281</v>
      </c>
      <c r="D53" s="72" t="s">
        <v>875</v>
      </c>
      <c r="E53" s="103" t="str">
        <f>HYPERLINK("https://youtu.be/xlBbB7gmEpQ","channel 1")</f>
        <v>channel 1</v>
      </c>
    </row>
    <row r="54">
      <c r="B54" s="72" t="s">
        <v>1078</v>
      </c>
      <c r="C54" s="73" t="s">
        <v>1670</v>
      </c>
      <c r="D54" s="72" t="s">
        <v>690</v>
      </c>
      <c r="E54" s="103" t="str">
        <f>HYPERLINK("https://youtu.be/ZB9GKz37kuM","channel 2")</f>
        <v>channel 2</v>
      </c>
    </row>
    <row r="55">
      <c r="B55" s="72" t="s">
        <v>391</v>
      </c>
      <c r="C55" s="73" t="s">
        <v>522</v>
      </c>
      <c r="D55" s="72" t="s">
        <v>985</v>
      </c>
      <c r="E55" s="103" t="str">
        <f>HYPERLINK("https://youtu.be/2jfqNk12LD0","channel 1")</f>
        <v>channel 1</v>
      </c>
    </row>
    <row r="56">
      <c r="B56" s="72" t="s">
        <v>1078</v>
      </c>
      <c r="C56" s="73" t="s">
        <v>851</v>
      </c>
      <c r="D56" s="72" t="s">
        <v>875</v>
      </c>
      <c r="E56" s="103" t="str">
        <f>HYPERLINK("https://youtu.be/oUeH9t2J1cs","channel 2")</f>
        <v>channel 2</v>
      </c>
    </row>
    <row r="57">
      <c r="B57" s="72" t="s">
        <v>875</v>
      </c>
      <c r="C57" s="73" t="s">
        <v>104</v>
      </c>
      <c r="D57" s="72" t="s">
        <v>690</v>
      </c>
      <c r="E57" s="103" t="str">
        <f>HYPERLINK("https://youtu.be/61plkrQ8dVU","channel 1")</f>
        <v>channel 1</v>
      </c>
    </row>
    <row r="58">
      <c r="B58" s="72" t="s">
        <v>1078</v>
      </c>
      <c r="C58" s="73" t="s">
        <v>144</v>
      </c>
      <c r="D58" s="72" t="s">
        <v>985</v>
      </c>
      <c r="E58" s="103" t="str">
        <f>HYPERLINK("https://youtu.be/AgpzaxhCcbk","channel 2")</f>
        <v>channel 2</v>
      </c>
    </row>
    <row r="59">
      <c r="B59" s="10" t="s">
        <v>690</v>
      </c>
      <c r="C59" s="18" t="s">
        <v>223</v>
      </c>
      <c r="D59" s="72" t="s">
        <v>391</v>
      </c>
      <c r="E59" s="103" t="str">
        <f>HYPERLINK("https://youtu.be/TJ31Wz9ZpX8","channel 1")</f>
        <v>channel 1</v>
      </c>
    </row>
    <row r="60">
      <c r="B60" s="106" t="s">
        <v>875</v>
      </c>
      <c r="C60" s="18" t="s">
        <v>194</v>
      </c>
      <c r="D60" s="72" t="s">
        <v>985</v>
      </c>
      <c r="E60" s="103" t="str">
        <f>HYPERLINK("https://youtu.be/K4eE_5vdhEo","channel 2")</f>
        <v>channel 2</v>
      </c>
    </row>
    <row r="61">
      <c r="B61" s="10" t="s">
        <v>1078</v>
      </c>
      <c r="C61" s="18" t="s">
        <v>46</v>
      </c>
      <c r="D61" s="72" t="s">
        <v>391</v>
      </c>
      <c r="E61" s="103" t="str">
        <f>HYPERLINK("https://youtu.be/EKiwNi92lFY","channel 1")</f>
        <v>channel 1</v>
      </c>
    </row>
    <row r="62">
      <c r="B62" s="72" t="s">
        <v>690</v>
      </c>
      <c r="C62" s="75" t="s">
        <v>35</v>
      </c>
      <c r="D62" s="72" t="s">
        <v>985</v>
      </c>
      <c r="E62" s="103" t="str">
        <f>HYPERLINK("https://youtu.be/U-MPhTPcUVs","channel 2")</f>
        <v>channel 2</v>
      </c>
    </row>
    <row r="63">
      <c r="B63" s="72" t="s">
        <v>875</v>
      </c>
      <c r="C63" s="75" t="s">
        <v>285</v>
      </c>
      <c r="D63" s="72" t="s">
        <v>391</v>
      </c>
      <c r="E63" s="103" t="str">
        <f>HYPERLINK("https://youtu.be/7yzUVr2HGvY","channel 1")</f>
        <v>channel 1</v>
      </c>
    </row>
    <row r="64">
      <c r="B64" s="72" t="s">
        <v>690</v>
      </c>
      <c r="C64" s="75" t="s">
        <v>358</v>
      </c>
      <c r="D64" s="72" t="s">
        <v>1078</v>
      </c>
      <c r="E64" s="103" t="str">
        <f>HYPERLINK("https://youtu.be/OyZGzrC3bRQ","channel 2")</f>
        <v>channel 2</v>
      </c>
    </row>
    <row r="65">
      <c r="B65" s="72" t="s">
        <v>985</v>
      </c>
      <c r="C65" s="75" t="s">
        <v>573</v>
      </c>
      <c r="D65" s="72" t="s">
        <v>391</v>
      </c>
      <c r="E65" s="103" t="str">
        <f>HYPERLINK("https://youtu.be/OX0ZaR5l7fI","channel 1")</f>
        <v>channel 1</v>
      </c>
    </row>
    <row r="66">
      <c r="B66" s="72" t="s">
        <v>875</v>
      </c>
      <c r="C66" s="75" t="s">
        <v>1671</v>
      </c>
      <c r="D66" s="72" t="s">
        <v>1078</v>
      </c>
      <c r="E66" s="103" t="str">
        <f>HYPERLINK("https://youtu.be/mnmiOz-PDYw","channel 2")</f>
        <v>channel 2</v>
      </c>
    </row>
    <row r="67">
      <c r="B67" s="2" t="s">
        <v>240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1565</v>
      </c>
      <c r="C69" s="70" t="s">
        <v>212</v>
      </c>
      <c r="D69" s="10" t="s">
        <v>1094</v>
      </c>
      <c r="E69" s="103" t="str">
        <f>HYPERLINK("https://youtu.be/-C0BIcah9bw","channel 1")</f>
        <v>channel 1</v>
      </c>
    </row>
    <row r="70">
      <c r="B70" s="72" t="s">
        <v>367</v>
      </c>
      <c r="C70" s="73" t="s">
        <v>59</v>
      </c>
      <c r="D70" s="72" t="s">
        <v>1528</v>
      </c>
      <c r="E70" s="103" t="str">
        <f>HYPERLINK("https://youtu.be/JFuIgIGzWjY","channel 2")</f>
        <v>channel 2</v>
      </c>
    </row>
    <row r="71">
      <c r="B71" s="72" t="s">
        <v>1672</v>
      </c>
      <c r="C71" s="73" t="s">
        <v>156</v>
      </c>
      <c r="D71" s="72" t="s">
        <v>1565</v>
      </c>
      <c r="E71" s="103" t="str">
        <f>HYPERLINK("https://youtu.be/HhTwg557ync","channel 1")</f>
        <v>channel 1</v>
      </c>
    </row>
    <row r="72">
      <c r="B72" s="72" t="s">
        <v>367</v>
      </c>
      <c r="C72" s="73" t="s">
        <v>281</v>
      </c>
      <c r="D72" s="72" t="s">
        <v>1094</v>
      </c>
      <c r="E72" s="103" t="str">
        <f>HYPERLINK("https://youtu.be/h0v2fkr6oXY","channel 2")</f>
        <v>channel 2</v>
      </c>
    </row>
    <row r="73">
      <c r="B73" s="72" t="s">
        <v>1672</v>
      </c>
      <c r="C73" s="73" t="s">
        <v>34</v>
      </c>
      <c r="D73" s="72" t="s">
        <v>1528</v>
      </c>
      <c r="E73" s="103" t="str">
        <f>HYPERLINK("https://youtu.be/xDbOtA69PSk","channel 1")</f>
        <v>channel 1</v>
      </c>
    </row>
    <row r="74">
      <c r="B74" s="72" t="s">
        <v>367</v>
      </c>
      <c r="C74" s="73" t="s">
        <v>93</v>
      </c>
      <c r="D74" s="72" t="s">
        <v>1565</v>
      </c>
      <c r="E74" s="103" t="str">
        <f>HYPERLINK("https://youtu.be/k3q7KovHyV4","channel 2")</f>
        <v>channel 2</v>
      </c>
    </row>
    <row r="75">
      <c r="B75" s="72" t="s">
        <v>1672</v>
      </c>
      <c r="C75" s="73" t="s">
        <v>573</v>
      </c>
      <c r="D75" s="72" t="s">
        <v>1094</v>
      </c>
      <c r="E75" s="103" t="str">
        <f>HYPERLINK("https://youtu.be/LrbxL__O-EA","channel 1")</f>
        <v>channel 1</v>
      </c>
    </row>
    <row r="76">
      <c r="B76" s="72" t="s">
        <v>1528</v>
      </c>
      <c r="C76" s="73" t="s">
        <v>311</v>
      </c>
      <c r="D76" s="72" t="s">
        <v>1565</v>
      </c>
      <c r="E76" s="103" t="str">
        <f>HYPERLINK("https://youtu.be/TT_Iao_WzBs","channel 2")</f>
        <v>channel 2</v>
      </c>
    </row>
    <row r="77">
      <c r="B77" s="72" t="s">
        <v>1672</v>
      </c>
      <c r="C77" s="73" t="s">
        <v>311</v>
      </c>
      <c r="D77" s="72" t="s">
        <v>367</v>
      </c>
      <c r="E77" s="103" t="str">
        <f>HYPERLINK("https://youtu.be/L6ZluV2jr50","channel 1")</f>
        <v>channel 1</v>
      </c>
    </row>
    <row r="78">
      <c r="B78" s="72" t="s">
        <v>1528</v>
      </c>
      <c r="C78" s="73" t="s">
        <v>117</v>
      </c>
      <c r="D78" s="72" t="s">
        <v>1094</v>
      </c>
      <c r="E78" s="103" t="str">
        <f>HYPERLINK("https://youtu.be/abOTHVs2R04","channel 2")</f>
        <v>channel 2</v>
      </c>
    </row>
    <row r="79">
      <c r="B79" s="72" t="s">
        <v>1094</v>
      </c>
      <c r="C79" s="73" t="s">
        <v>204</v>
      </c>
      <c r="D79" s="72" t="s">
        <v>1565</v>
      </c>
      <c r="E79" s="103" t="str">
        <f>HYPERLINK("https://youtu.be/qoGiL7uD7DA","channel 1")</f>
        <v>channel 1</v>
      </c>
    </row>
    <row r="80">
      <c r="B80" s="72" t="s">
        <v>1528</v>
      </c>
      <c r="C80" s="73" t="s">
        <v>34</v>
      </c>
      <c r="D80" s="72" t="s">
        <v>367</v>
      </c>
      <c r="E80" s="103" t="str">
        <f>HYPERLINK("https://youtu.be/C1k_bt9eT0M","channel 2")</f>
        <v>channel 2</v>
      </c>
    </row>
    <row r="81">
      <c r="B81" s="72" t="s">
        <v>1565</v>
      </c>
      <c r="C81" s="75" t="s">
        <v>190</v>
      </c>
      <c r="D81" s="72" t="s">
        <v>1672</v>
      </c>
      <c r="E81" s="103" t="str">
        <f>HYPERLINK("https://youtu.be/w6rUGXwWbYg","channel 1")</f>
        <v>channel 1</v>
      </c>
    </row>
    <row r="82">
      <c r="B82" s="72" t="s">
        <v>1094</v>
      </c>
      <c r="C82" s="75" t="s">
        <v>59</v>
      </c>
      <c r="D82" s="72" t="s">
        <v>367</v>
      </c>
      <c r="E82" s="103" t="str">
        <f>HYPERLINK("https://youtu.be/2_WWvFnBCO0","channel 2")</f>
        <v>channel 2</v>
      </c>
    </row>
    <row r="83">
      <c r="B83" s="72" t="s">
        <v>1528</v>
      </c>
      <c r="C83" s="75" t="s">
        <v>225</v>
      </c>
      <c r="D83" s="72" t="s">
        <v>1672</v>
      </c>
      <c r="E83" s="103" t="str">
        <f>HYPERLINK("https://youtu.be/JBjPAKLUiaw","channel 1")</f>
        <v>channel 1</v>
      </c>
    </row>
    <row r="84">
      <c r="B84" s="72" t="s">
        <v>1565</v>
      </c>
      <c r="C84" s="75" t="s">
        <v>10</v>
      </c>
      <c r="D84" s="72" t="s">
        <v>367</v>
      </c>
      <c r="E84" s="103" t="str">
        <f>HYPERLINK("https://youtu.be/FkfXgNzjBNk","channel 2")</f>
        <v>channel 2</v>
      </c>
    </row>
    <row r="85">
      <c r="B85" s="72" t="s">
        <v>1094</v>
      </c>
      <c r="C85" s="75" t="s">
        <v>146</v>
      </c>
      <c r="D85" s="72" t="s">
        <v>1672</v>
      </c>
      <c r="E85" s="103" t="str">
        <f>HYPERLINK("https://youtu.be/jJlI4bSwf9k","channel 1")</f>
        <v>channel 1</v>
      </c>
    </row>
    <row r="86">
      <c r="B86" s="72" t="s">
        <v>1565</v>
      </c>
      <c r="C86" s="75" t="s">
        <v>145</v>
      </c>
      <c r="D86" s="72" t="s">
        <v>1528</v>
      </c>
      <c r="E86" s="103" t="str">
        <f>HYPERLINK("https://youtu.be/gHqIEiyk014","channel 2")</f>
        <v>channel 2</v>
      </c>
    </row>
    <row r="87">
      <c r="B87" s="72" t="s">
        <v>367</v>
      </c>
      <c r="C87" s="75" t="s">
        <v>36</v>
      </c>
      <c r="D87" s="72" t="s">
        <v>1672</v>
      </c>
      <c r="E87" s="103" t="str">
        <f>HYPERLINK("https://youtu.be/W_nIxgNstWg","channel 1")</f>
        <v>channel 1</v>
      </c>
    </row>
    <row r="88">
      <c r="B88" s="72" t="s">
        <v>1094</v>
      </c>
      <c r="C88" s="75" t="s">
        <v>610</v>
      </c>
      <c r="D88" s="72" t="s">
        <v>1528</v>
      </c>
      <c r="E88" s="103" t="str">
        <f>HYPERLINK("https://youtu.be/kncfLLloumc","channel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1673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989</v>
      </c>
      <c r="C3" s="12" t="s">
        <v>10</v>
      </c>
      <c r="D3" s="10" t="s">
        <v>1104</v>
      </c>
      <c r="E3" s="103" t="str">
        <f>HYPERLINK("https://youtu.be/SuMq1qZ48_E","channel 1")</f>
        <v>channel 1</v>
      </c>
    </row>
    <row r="4">
      <c r="B4" s="10" t="s">
        <v>1674</v>
      </c>
      <c r="C4" s="12" t="s">
        <v>61</v>
      </c>
      <c r="D4" s="10" t="s">
        <v>1114</v>
      </c>
      <c r="E4" s="103" t="str">
        <f>HYPERLINK("https://youtu.be/ufqCEojH0o4","channel 2")</f>
        <v>channel 2</v>
      </c>
    </row>
    <row r="5">
      <c r="B5" s="10" t="s">
        <v>791</v>
      </c>
      <c r="C5" s="12" t="s">
        <v>37</v>
      </c>
      <c r="D5" s="10" t="s">
        <v>989</v>
      </c>
      <c r="E5" s="103" t="str">
        <f>HYPERLINK("https://youtu.be/YojHrqX32aY","channel 1")</f>
        <v>channel 1</v>
      </c>
    </row>
    <row r="6">
      <c r="B6" s="10" t="s">
        <v>1674</v>
      </c>
      <c r="C6" s="12" t="s">
        <v>213</v>
      </c>
      <c r="D6" s="10" t="s">
        <v>1104</v>
      </c>
      <c r="E6" s="103" t="str">
        <f>HYPERLINK("https://youtu.be/9rjLecAe4ag","channel 2")</f>
        <v>channel 2</v>
      </c>
    </row>
    <row r="7">
      <c r="B7" s="10" t="s">
        <v>791</v>
      </c>
      <c r="C7" s="12" t="s">
        <v>148</v>
      </c>
      <c r="D7" s="10" t="s">
        <v>1114</v>
      </c>
      <c r="E7" s="103" t="str">
        <f>HYPERLINK("https://youtu.be/DAy0hwUSLws","channel 1")</f>
        <v>channel 1</v>
      </c>
    </row>
    <row r="8">
      <c r="B8" s="10" t="s">
        <v>1674</v>
      </c>
      <c r="C8" s="37" t="s">
        <v>141</v>
      </c>
      <c r="D8" s="10" t="s">
        <v>989</v>
      </c>
      <c r="E8" s="103" t="str">
        <f>HYPERLINK("https://youtu.be/J4DHCP4sfdM","channel 2")</f>
        <v>channel 2</v>
      </c>
    </row>
    <row r="9">
      <c r="B9" s="10" t="s">
        <v>791</v>
      </c>
      <c r="C9" s="12" t="s">
        <v>55</v>
      </c>
      <c r="D9" s="10" t="s">
        <v>1104</v>
      </c>
      <c r="E9" s="103" t="str">
        <f>HYPERLINK("https://youtu.be/djF7M-3WxO4","channel 1")</f>
        <v>channel 1</v>
      </c>
    </row>
    <row r="10">
      <c r="B10" s="10" t="s">
        <v>1114</v>
      </c>
      <c r="C10" s="37" t="s">
        <v>138</v>
      </c>
      <c r="D10" s="10" t="s">
        <v>989</v>
      </c>
      <c r="E10" s="103" t="str">
        <f>HYPERLINK("https://youtu.be/_PP1fOorgHg","channel 2")</f>
        <v>channel 2</v>
      </c>
    </row>
    <row r="11">
      <c r="B11" s="10" t="s">
        <v>791</v>
      </c>
      <c r="C11" s="12" t="s">
        <v>44</v>
      </c>
      <c r="D11" s="10" t="s">
        <v>1674</v>
      </c>
      <c r="E11" s="103" t="str">
        <f>HYPERLINK("https://youtu.be/6AZtpnYRXzI","channel 1")</f>
        <v>channel 1</v>
      </c>
    </row>
    <row r="12">
      <c r="B12" s="10" t="s">
        <v>1114</v>
      </c>
      <c r="C12" s="12" t="s">
        <v>18</v>
      </c>
      <c r="D12" s="10" t="s">
        <v>1104</v>
      </c>
      <c r="E12" s="103" t="str">
        <f>HYPERLINK("https://youtu.be/hor6vVnURH0","channel 2")</f>
        <v>channel 2</v>
      </c>
    </row>
    <row r="13">
      <c r="B13" s="10" t="s">
        <v>1104</v>
      </c>
      <c r="C13" s="12" t="s">
        <v>145</v>
      </c>
      <c r="D13" s="10" t="s">
        <v>989</v>
      </c>
      <c r="E13" s="103" t="str">
        <f>HYPERLINK("https://youtu.be/gFa90v1BoBA","channel 1")</f>
        <v>channel 1</v>
      </c>
    </row>
    <row r="14">
      <c r="B14" s="10" t="s">
        <v>1114</v>
      </c>
      <c r="C14" s="12" t="s">
        <v>307</v>
      </c>
      <c r="D14" s="10" t="s">
        <v>1674</v>
      </c>
      <c r="E14" s="103" t="str">
        <f>HYPERLINK("https://youtu.be/fRqJPYj7D98","channel 2")</f>
        <v>channel 2</v>
      </c>
    </row>
    <row r="15">
      <c r="B15" s="10" t="s">
        <v>989</v>
      </c>
      <c r="C15" s="18" t="s">
        <v>38</v>
      </c>
      <c r="D15" s="10" t="s">
        <v>791</v>
      </c>
      <c r="E15" s="103" t="str">
        <f>HYPERLINK("https://youtu.be/ZHAqkhkMZfI","channel 1")</f>
        <v>channel 1</v>
      </c>
    </row>
    <row r="16">
      <c r="B16" s="104" t="s">
        <v>1104</v>
      </c>
      <c r="C16" s="18" t="s">
        <v>11</v>
      </c>
      <c r="D16" s="10" t="s">
        <v>1674</v>
      </c>
      <c r="E16" s="103" t="str">
        <f>HYPERLINK("https://youtu.be/NyvX5UlUO4c","channel 2")</f>
        <v>channel 2</v>
      </c>
    </row>
    <row r="17">
      <c r="B17" s="10" t="s">
        <v>1114</v>
      </c>
      <c r="C17" s="18" t="s">
        <v>216</v>
      </c>
      <c r="D17" s="10" t="s">
        <v>791</v>
      </c>
      <c r="E17" s="103" t="str">
        <f>HYPERLINK("https://youtu.be/gV3RRCJ23gI","channel 1")</f>
        <v>channel 1</v>
      </c>
    </row>
    <row r="18">
      <c r="B18" s="10" t="s">
        <v>989</v>
      </c>
      <c r="C18" s="105" t="s">
        <v>99</v>
      </c>
      <c r="D18" s="10" t="s">
        <v>1674</v>
      </c>
      <c r="E18" s="103" t="str">
        <f>HYPERLINK("https://youtu.be/2mZ5VycGQoE","channel 2")</f>
        <v>channel 2</v>
      </c>
    </row>
    <row r="19">
      <c r="B19" s="10" t="s">
        <v>1104</v>
      </c>
      <c r="C19" s="18" t="s">
        <v>261</v>
      </c>
      <c r="D19" s="10" t="s">
        <v>791</v>
      </c>
      <c r="E19" s="103" t="str">
        <f>HYPERLINK("https://youtu.be/NLFnmrKpnJQ","channel 1")</f>
        <v>channel 1</v>
      </c>
    </row>
    <row r="20">
      <c r="B20" s="10" t="s">
        <v>989</v>
      </c>
      <c r="C20" s="18" t="s">
        <v>943</v>
      </c>
      <c r="D20" s="10" t="s">
        <v>1114</v>
      </c>
      <c r="E20" s="103" t="str">
        <f>HYPERLINK("https://youtu.be/5nIKIifS-dA","channel 2")</f>
        <v>channel 2</v>
      </c>
    </row>
    <row r="21">
      <c r="B21" s="10" t="s">
        <v>1674</v>
      </c>
      <c r="C21" s="18" t="s">
        <v>37</v>
      </c>
      <c r="D21" s="10" t="s">
        <v>791</v>
      </c>
      <c r="E21" s="103" t="str">
        <f>HYPERLINK("https://youtu.be/tB8oLfII2Lg","channel 1")</f>
        <v>channel 1</v>
      </c>
    </row>
    <row r="22">
      <c r="B22" s="10" t="s">
        <v>1104</v>
      </c>
      <c r="C22" s="18" t="s">
        <v>93</v>
      </c>
      <c r="D22" s="10" t="s">
        <v>1114</v>
      </c>
      <c r="E22" s="103" t="str">
        <f>HYPERLINK("https://youtu.be/Vgu7uZNpH5k","channel 2")</f>
        <v>channel 2</v>
      </c>
    </row>
    <row r="23">
      <c r="B23" s="2" t="s">
        <v>41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1675</v>
      </c>
      <c r="C25" s="12" t="s">
        <v>84</v>
      </c>
      <c r="D25" s="71" t="s">
        <v>380</v>
      </c>
      <c r="E25" s="103" t="str">
        <f>HYPERLINK("https://youtu.be/HeON6-LYAV0","channel 1")</f>
        <v>channel 1</v>
      </c>
    </row>
    <row r="26">
      <c r="B26" s="10" t="s">
        <v>1676</v>
      </c>
      <c r="C26" s="87" t="s">
        <v>49</v>
      </c>
      <c r="D26" s="10" t="s">
        <v>1677</v>
      </c>
      <c r="E26" s="103" t="str">
        <f>HYPERLINK("https://youtu.be/qSUjjNQrm9E","channel 2")</f>
        <v>channel 2</v>
      </c>
    </row>
    <row r="27">
      <c r="B27" s="72" t="s">
        <v>1648</v>
      </c>
      <c r="C27" s="12" t="s">
        <v>93</v>
      </c>
      <c r="D27" s="74" t="s">
        <v>1675</v>
      </c>
      <c r="E27" s="103" t="str">
        <f>HYPERLINK("https://youtu.be/UHRSR30Oocw","channel 1")</f>
        <v>channel 1</v>
      </c>
    </row>
    <row r="28">
      <c r="B28" s="72" t="s">
        <v>1676</v>
      </c>
      <c r="C28" s="87" t="s">
        <v>103</v>
      </c>
      <c r="D28" s="74" t="s">
        <v>380</v>
      </c>
      <c r="E28" s="103" t="str">
        <f>HYPERLINK("https://youtu.be/RoLfz_B42AA","channel 2")</f>
        <v>channel 2</v>
      </c>
    </row>
    <row r="29">
      <c r="B29" s="72" t="s">
        <v>1648</v>
      </c>
      <c r="C29" s="12" t="s">
        <v>77</v>
      </c>
      <c r="D29" s="74" t="s">
        <v>1677</v>
      </c>
      <c r="E29" s="103" t="str">
        <f>HYPERLINK("https://youtu.be/UYtG4qD4waI","channel 1")</f>
        <v>channel 1</v>
      </c>
    </row>
    <row r="30">
      <c r="B30" s="72" t="s">
        <v>1676</v>
      </c>
      <c r="C30" s="87" t="s">
        <v>322</v>
      </c>
      <c r="D30" s="74" t="s">
        <v>1675</v>
      </c>
      <c r="E30" s="103" t="str">
        <f>HYPERLINK("https://youtu.be/Vjn06Jxu7QU","channel 2")</f>
        <v>channel 2</v>
      </c>
    </row>
    <row r="31">
      <c r="B31" s="72" t="s">
        <v>1648</v>
      </c>
      <c r="C31" s="12" t="s">
        <v>104</v>
      </c>
      <c r="D31" s="74" t="s">
        <v>380</v>
      </c>
      <c r="E31" s="103" t="str">
        <f>HYPERLINK("https://youtu.be/b885_yeSHyA","channel 1")</f>
        <v>channel 1</v>
      </c>
    </row>
    <row r="32">
      <c r="B32" s="72" t="s">
        <v>1677</v>
      </c>
      <c r="C32" s="37" t="s">
        <v>538</v>
      </c>
      <c r="D32" s="74" t="s">
        <v>1675</v>
      </c>
      <c r="E32" s="103" t="str">
        <f>HYPERLINK("https://youtu.be/dya8zChRTbs","channel 2")</f>
        <v>channel 2</v>
      </c>
    </row>
    <row r="33">
      <c r="B33" s="72" t="s">
        <v>1648</v>
      </c>
      <c r="C33" s="12" t="s">
        <v>212</v>
      </c>
      <c r="D33" s="74" t="s">
        <v>1676</v>
      </c>
      <c r="E33" s="103" t="str">
        <f>HYPERLINK("https://youtu.be/52gZB2QEXOQ","channel 1")</f>
        <v>channel 1</v>
      </c>
    </row>
    <row r="34">
      <c r="B34" s="72" t="s">
        <v>1677</v>
      </c>
      <c r="C34" s="37" t="s">
        <v>919</v>
      </c>
      <c r="D34" s="74" t="s">
        <v>380</v>
      </c>
      <c r="E34" s="103" t="str">
        <f>HYPERLINK("https://youtu.be/XSDGrI9yYe8","channel 2")</f>
        <v>channel 2</v>
      </c>
    </row>
    <row r="35">
      <c r="B35" s="72" t="s">
        <v>380</v>
      </c>
      <c r="C35" s="12" t="s">
        <v>1578</v>
      </c>
      <c r="D35" s="74" t="s">
        <v>1675</v>
      </c>
      <c r="E35" s="103" t="str">
        <f>HYPERLINK("https://youtu.be/HubXSgPVuAE","channel 1")</f>
        <v>channel 1</v>
      </c>
    </row>
    <row r="36">
      <c r="B36" s="72" t="s">
        <v>1677</v>
      </c>
      <c r="C36" s="37" t="s">
        <v>358</v>
      </c>
      <c r="D36" s="74" t="s">
        <v>1676</v>
      </c>
      <c r="E36" s="103" t="str">
        <f>HYPERLINK("https://youtu.be/4I6K5WWZBQc","channel 2")</f>
        <v>channel 2</v>
      </c>
    </row>
    <row r="37">
      <c r="B37" s="72" t="s">
        <v>1675</v>
      </c>
      <c r="C37" s="18" t="s">
        <v>759</v>
      </c>
      <c r="D37" s="74" t="s">
        <v>1648</v>
      </c>
      <c r="E37" s="103" t="str">
        <f>HYPERLINK("https://youtu.be/rcAoxdZX-ys","channel 1")</f>
        <v>channel 1</v>
      </c>
    </row>
    <row r="38">
      <c r="B38" s="72" t="s">
        <v>380</v>
      </c>
      <c r="C38" s="105" t="s">
        <v>59</v>
      </c>
      <c r="D38" s="74" t="s">
        <v>1676</v>
      </c>
      <c r="E38" s="103" t="str">
        <f>HYPERLINK("https://youtu.be/3Rx_8qS8OHI","channel 2")</f>
        <v>channel 2</v>
      </c>
    </row>
    <row r="39">
      <c r="B39" s="72" t="s">
        <v>1677</v>
      </c>
      <c r="C39" s="18" t="s">
        <v>322</v>
      </c>
      <c r="D39" s="74" t="s">
        <v>1648</v>
      </c>
      <c r="E39" s="103" t="str">
        <f>HYPERLINK("https://youtu.be/TZ86OAGpsMc","channel 1")</f>
        <v>channel 1</v>
      </c>
    </row>
    <row r="40">
      <c r="B40" s="72" t="s">
        <v>1675</v>
      </c>
      <c r="C40" s="18" t="s">
        <v>34</v>
      </c>
      <c r="D40" s="74" t="s">
        <v>1676</v>
      </c>
      <c r="E40" s="103" t="str">
        <f>HYPERLINK("https://youtu.be/xQ_QcsLH5ck","channel 2")</f>
        <v>channel 2</v>
      </c>
    </row>
    <row r="41">
      <c r="B41" s="72" t="s">
        <v>380</v>
      </c>
      <c r="C41" s="18" t="s">
        <v>190</v>
      </c>
      <c r="D41" s="74" t="s">
        <v>1648</v>
      </c>
      <c r="E41" s="103" t="str">
        <f>HYPERLINK("https://youtu.be/UHXWrYZFF-4","channel 1")</f>
        <v>channel 1</v>
      </c>
    </row>
    <row r="42">
      <c r="B42" s="72" t="s">
        <v>1675</v>
      </c>
      <c r="C42" s="18" t="s">
        <v>47</v>
      </c>
      <c r="D42" s="74" t="s">
        <v>1677</v>
      </c>
      <c r="E42" s="103" t="str">
        <f>HYPERLINK("https://youtu.be/-2_v1ncTrzI","channel 2")</f>
        <v>channel 2</v>
      </c>
    </row>
    <row r="43">
      <c r="B43" s="72" t="s">
        <v>1676</v>
      </c>
      <c r="C43" s="18" t="s">
        <v>49</v>
      </c>
      <c r="D43" s="74" t="s">
        <v>1648</v>
      </c>
      <c r="E43" s="103" t="str">
        <f>HYPERLINK("https://youtu.be/v4X4VRx2V4g","channel 1")</f>
        <v>channel 1</v>
      </c>
    </row>
    <row r="44">
      <c r="B44" s="72" t="s">
        <v>380</v>
      </c>
      <c r="C44" s="105" t="s">
        <v>113</v>
      </c>
      <c r="D44" s="74" t="s">
        <v>1677</v>
      </c>
      <c r="E44" s="103" t="str">
        <f>HYPERLINK("https://youtu.be/lnpFJd7FlPc","channel 2")</f>
        <v>channel 2</v>
      </c>
    </row>
    <row r="45">
      <c r="B45" s="2" t="s">
        <v>546</v>
      </c>
      <c r="C45" s="3"/>
      <c r="D45" s="4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1678</v>
      </c>
      <c r="C47" s="70" t="s">
        <v>84</v>
      </c>
      <c r="D47" s="10" t="s">
        <v>1135</v>
      </c>
      <c r="E47" s="103" t="str">
        <f>HYPERLINK("https://youtu.be/QFxo7-qutas","channel 1")</f>
        <v>channel 1</v>
      </c>
    </row>
    <row r="48">
      <c r="B48" s="72" t="s">
        <v>1370</v>
      </c>
      <c r="C48" s="73" t="s">
        <v>32</v>
      </c>
      <c r="D48" s="72" t="s">
        <v>659</v>
      </c>
      <c r="E48" s="103" t="str">
        <f>HYPERLINK("https://youtu.be/FpBsbOBCgTY","channel 2")</f>
        <v>channel 2</v>
      </c>
    </row>
    <row r="49">
      <c r="B49" s="72" t="s">
        <v>1679</v>
      </c>
      <c r="C49" s="73" t="s">
        <v>104</v>
      </c>
      <c r="D49" s="72" t="s">
        <v>1678</v>
      </c>
      <c r="E49" s="103" t="str">
        <f>HYPERLINK("https://youtu.be/s_tL47Nl7S","channel 1")</f>
        <v>channel 1</v>
      </c>
    </row>
    <row r="50">
      <c r="B50" s="72" t="s">
        <v>1370</v>
      </c>
      <c r="C50" s="73" t="s">
        <v>141</v>
      </c>
      <c r="D50" s="72" t="s">
        <v>1135</v>
      </c>
      <c r="E50" s="103" t="str">
        <f>HYPERLINK("https://youtu.be/Wkopkazm5tU","channel 2")</f>
        <v>channel 2</v>
      </c>
      <c r="G50" s="107"/>
    </row>
    <row r="51">
      <c r="B51" s="72" t="s">
        <v>1679</v>
      </c>
      <c r="C51" s="73" t="s">
        <v>108</v>
      </c>
      <c r="D51" s="72" t="s">
        <v>659</v>
      </c>
      <c r="E51" s="103" t="str">
        <f>HYPERLINK("https://youtu.be/wIjwAA-rMCI","channel 1")</f>
        <v>channel 1</v>
      </c>
    </row>
    <row r="52">
      <c r="B52" s="72" t="s">
        <v>1370</v>
      </c>
      <c r="C52" s="73" t="s">
        <v>437</v>
      </c>
      <c r="D52" s="72" t="s">
        <v>1678</v>
      </c>
      <c r="E52" s="103" t="str">
        <f>HYPERLINK("https://youtu.be/ngdK_qVakD0","channel 2")</f>
        <v>channel 2</v>
      </c>
    </row>
    <row r="53">
      <c r="B53" s="72" t="s">
        <v>1679</v>
      </c>
      <c r="C53" s="73" t="s">
        <v>216</v>
      </c>
      <c r="D53" s="72" t="s">
        <v>1135</v>
      </c>
      <c r="E53" s="103" t="str">
        <f>HYPERLINK("https://youtu.be/k9UKAkLpaw0","channel 1")</f>
        <v>channel 1</v>
      </c>
    </row>
    <row r="54">
      <c r="B54" s="72" t="s">
        <v>659</v>
      </c>
      <c r="C54" s="73" t="s">
        <v>477</v>
      </c>
      <c r="D54" s="72" t="s">
        <v>1678</v>
      </c>
      <c r="E54" s="103" t="str">
        <f>HYPERLINK("https://youtu.be/mILOsBo0aVs","channel 2")</f>
        <v>channel 2</v>
      </c>
    </row>
    <row r="55">
      <c r="B55" s="72" t="s">
        <v>1679</v>
      </c>
      <c r="C55" s="73" t="s">
        <v>133</v>
      </c>
      <c r="D55" s="72" t="s">
        <v>1370</v>
      </c>
      <c r="E55" s="103" t="str">
        <f>HYPERLINK("https://youtu.be/TsoW7JT86zo","channel 1")</f>
        <v>channel 1</v>
      </c>
    </row>
    <row r="56">
      <c r="B56" s="72" t="s">
        <v>659</v>
      </c>
      <c r="C56" s="73" t="s">
        <v>10</v>
      </c>
      <c r="D56" s="72" t="s">
        <v>1135</v>
      </c>
      <c r="E56" s="103" t="str">
        <f>HYPERLINK("https://youtu.be/BDhKF3Gdb_0","channel 2")</f>
        <v>channel 2</v>
      </c>
    </row>
    <row r="57">
      <c r="B57" s="72" t="s">
        <v>1135</v>
      </c>
      <c r="C57" s="73" t="s">
        <v>225</v>
      </c>
      <c r="D57" s="72" t="s">
        <v>1678</v>
      </c>
      <c r="E57" s="103" t="str">
        <f>HYPERLINK("https://youtu.be/KHwEXdF_OOE","channel 1")</f>
        <v>channel 1</v>
      </c>
    </row>
    <row r="58">
      <c r="B58" s="72" t="s">
        <v>659</v>
      </c>
      <c r="C58" s="73" t="s">
        <v>111</v>
      </c>
      <c r="D58" s="72" t="s">
        <v>1370</v>
      </c>
      <c r="E58" s="103" t="str">
        <f>HYPERLINK("https://youtu.be/ZAYwuOQCBes","channel 2")</f>
        <v>channel 2</v>
      </c>
    </row>
    <row r="59">
      <c r="B59" s="72" t="s">
        <v>1678</v>
      </c>
      <c r="C59" s="75" t="s">
        <v>141</v>
      </c>
      <c r="D59" s="72" t="s">
        <v>1679</v>
      </c>
      <c r="E59" s="103" t="str">
        <f>HYPERLINK("https://youtu.be/yK7W1Tuw6AM","channel 1")</f>
        <v>channel 1</v>
      </c>
    </row>
    <row r="60">
      <c r="B60" s="72" t="s">
        <v>1135</v>
      </c>
      <c r="C60" s="75" t="s">
        <v>108</v>
      </c>
      <c r="D60" s="72" t="s">
        <v>1370</v>
      </c>
      <c r="E60" s="103" t="str">
        <f>HYPERLINK("https://youtu.be/Bsflao4kJHg","channel 2")</f>
        <v>channel 2</v>
      </c>
    </row>
    <row r="61">
      <c r="B61" s="72" t="s">
        <v>659</v>
      </c>
      <c r="C61" s="75" t="s">
        <v>32</v>
      </c>
      <c r="D61" s="72" t="s">
        <v>1679</v>
      </c>
      <c r="E61" s="103" t="str">
        <f>HYPERLINK("https://youtu.be/PcD7MOChPQc","channel 1")</f>
        <v>channel 1</v>
      </c>
    </row>
    <row r="62">
      <c r="B62" s="72" t="s">
        <v>1678</v>
      </c>
      <c r="C62" s="75" t="s">
        <v>724</v>
      </c>
      <c r="D62" s="72" t="s">
        <v>1370</v>
      </c>
      <c r="E62" s="103" t="str">
        <f>HYPERLINK("https://youtu.be/MUklSIuMVgg","channel 2")</f>
        <v>channel 2</v>
      </c>
    </row>
    <row r="63">
      <c r="B63" s="72" t="s">
        <v>1135</v>
      </c>
      <c r="C63" s="75" t="s">
        <v>460</v>
      </c>
      <c r="D63" s="72" t="s">
        <v>1679</v>
      </c>
      <c r="E63" s="103" t="str">
        <f>HYPERLINK("https://youtu.be/VuAOEXXrFmU","channel 1")</f>
        <v>channel 1</v>
      </c>
    </row>
    <row r="64">
      <c r="B64" s="72" t="s">
        <v>1678</v>
      </c>
      <c r="C64" s="75" t="s">
        <v>97</v>
      </c>
      <c r="D64" s="72" t="s">
        <v>659</v>
      </c>
      <c r="E64" s="103" t="str">
        <f>HYPERLINK("https://youtu.be/UpeCof9c1Gc","channel 2")</f>
        <v>channel 2</v>
      </c>
    </row>
    <row r="65">
      <c r="B65" s="72" t="s">
        <v>1370</v>
      </c>
      <c r="C65" s="75" t="s">
        <v>232</v>
      </c>
      <c r="D65" s="72" t="s">
        <v>1679</v>
      </c>
      <c r="E65" s="103" t="str">
        <f>HYPERLINK("https://youtu.be/1HWSR8GCsm8","channel 1")</f>
        <v>channel 1</v>
      </c>
    </row>
    <row r="66">
      <c r="B66" s="72" t="s">
        <v>1135</v>
      </c>
      <c r="C66" s="75" t="s">
        <v>188</v>
      </c>
      <c r="D66" s="72" t="s">
        <v>659</v>
      </c>
      <c r="E66" s="103" t="str">
        <f>HYPERLINK("https://youtu.be/cpySGBla7X8","channel 2")</f>
        <v>channel 2</v>
      </c>
    </row>
    <row r="67">
      <c r="B67" s="2" t="s">
        <v>1425</v>
      </c>
      <c r="C67" s="3"/>
      <c r="D67" s="4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1200</v>
      </c>
      <c r="C69" s="70" t="s">
        <v>598</v>
      </c>
      <c r="D69" s="10" t="s">
        <v>1042</v>
      </c>
      <c r="E69" s="103" t="str">
        <f>HYPERLINK("https://youtu.be/BxDvf6tefco","channel 1")</f>
        <v>channel 1</v>
      </c>
    </row>
    <row r="70">
      <c r="B70" s="72" t="s">
        <v>1330</v>
      </c>
      <c r="C70" s="73" t="s">
        <v>223</v>
      </c>
      <c r="D70" s="72" t="s">
        <v>1680</v>
      </c>
      <c r="E70" s="103" t="str">
        <f>HYPERLINK("https://youtu.be/6PU3IghlM5E","channel 2")</f>
        <v>channel 2</v>
      </c>
    </row>
    <row r="71">
      <c r="B71" s="72" t="s">
        <v>969</v>
      </c>
      <c r="C71" s="73" t="s">
        <v>1377</v>
      </c>
      <c r="D71" s="72" t="s">
        <v>1200</v>
      </c>
      <c r="E71" s="103" t="str">
        <f>HYPERLINK("https://youtu.be/jwNbjTOUf9E","channel 1")</f>
        <v>channel 1</v>
      </c>
    </row>
    <row r="72">
      <c r="B72" s="72" t="s">
        <v>1330</v>
      </c>
      <c r="C72" s="73" t="s">
        <v>49</v>
      </c>
      <c r="D72" s="72" t="s">
        <v>1042</v>
      </c>
      <c r="E72" s="103" t="str">
        <f>HYPERLINK("https://youtu.be/QIH5wpopSZ4","channel 2")</f>
        <v>channel 2</v>
      </c>
    </row>
    <row r="73">
      <c r="B73" s="72" t="s">
        <v>969</v>
      </c>
      <c r="C73" s="73" t="s">
        <v>146</v>
      </c>
      <c r="D73" s="72" t="s">
        <v>1680</v>
      </c>
      <c r="E73" s="103" t="str">
        <f>HYPERLINK("https://youtu.be/WI_yI0uypf0","channel 1")</f>
        <v>channel 1</v>
      </c>
    </row>
    <row r="74">
      <c r="B74" s="72" t="s">
        <v>1330</v>
      </c>
      <c r="C74" s="73" t="s">
        <v>106</v>
      </c>
      <c r="D74" s="72" t="s">
        <v>1200</v>
      </c>
      <c r="E74" s="103" t="str">
        <f>HYPERLINK("https://youtu.be/Qbh11MSIvWU","channel 2")</f>
        <v>channel 2</v>
      </c>
    </row>
    <row r="75">
      <c r="B75" s="72" t="s">
        <v>969</v>
      </c>
      <c r="C75" s="73" t="s">
        <v>10</v>
      </c>
      <c r="D75" s="72" t="s">
        <v>1042</v>
      </c>
      <c r="E75" s="103" t="str">
        <f>HYPERLINK("https://youtu.be/OJU8ICAu-NE","channel 1")</f>
        <v>channel 1</v>
      </c>
    </row>
    <row r="76">
      <c r="B76" s="72" t="s">
        <v>1680</v>
      </c>
      <c r="C76" s="73" t="s">
        <v>210</v>
      </c>
      <c r="D76" s="72" t="s">
        <v>1200</v>
      </c>
      <c r="E76" s="103" t="str">
        <f>HYPERLINK("https://youtu.be/1d1rVUhPjOA","channel 2")</f>
        <v>channel 2</v>
      </c>
    </row>
    <row r="77">
      <c r="B77" s="72" t="s">
        <v>969</v>
      </c>
      <c r="C77" s="73" t="s">
        <v>216</v>
      </c>
      <c r="D77" s="72" t="s">
        <v>1330</v>
      </c>
      <c r="E77" s="103" t="str">
        <f>HYPERLINK("https://youtu.be/jcb1ElU6fM8","channel 1")</f>
        <v>channel 1</v>
      </c>
    </row>
    <row r="78">
      <c r="B78" s="72" t="s">
        <v>1680</v>
      </c>
      <c r="C78" s="73" t="s">
        <v>10</v>
      </c>
      <c r="D78" s="72" t="s">
        <v>1042</v>
      </c>
      <c r="E78" s="103" t="str">
        <f>HYPERLINK("https://youtu.be/HXWJoCnaiAU","channel 2")</f>
        <v>channel 2</v>
      </c>
    </row>
    <row r="79">
      <c r="B79" s="72" t="s">
        <v>1042</v>
      </c>
      <c r="C79" s="73" t="s">
        <v>44</v>
      </c>
      <c r="D79" s="72" t="s">
        <v>1200</v>
      </c>
      <c r="E79" s="103" t="str">
        <f>HYPERLINK("https://youtu.be/M6Q8Of0ltIw","channel 1")</f>
        <v>channel 1</v>
      </c>
    </row>
    <row r="80">
      <c r="B80" s="72" t="s">
        <v>1680</v>
      </c>
      <c r="C80" s="73" t="s">
        <v>109</v>
      </c>
      <c r="D80" s="72" t="s">
        <v>1330</v>
      </c>
      <c r="E80" s="103" t="str">
        <f>HYPERLINK("https://youtu.be/3BGivR3ECvY","channel 2")</f>
        <v>channel 2</v>
      </c>
    </row>
    <row r="81">
      <c r="B81" s="72" t="s">
        <v>1200</v>
      </c>
      <c r="C81" s="75" t="s">
        <v>1681</v>
      </c>
      <c r="D81" s="72" t="s">
        <v>969</v>
      </c>
      <c r="E81" s="103" t="str">
        <f>HYPERLINK("https://youtu.be/xzf5NIyvV2M","channel 1")</f>
        <v>channel 1</v>
      </c>
    </row>
    <row r="82">
      <c r="B82" s="72" t="s">
        <v>1042</v>
      </c>
      <c r="C82" s="75" t="s">
        <v>109</v>
      </c>
      <c r="D82" s="72" t="s">
        <v>1330</v>
      </c>
      <c r="E82" s="103" t="str">
        <f>HYPERLINK("https://youtu.be/FB69wFHhfnM","channel 2")</f>
        <v>channel 2</v>
      </c>
    </row>
    <row r="83">
      <c r="B83" s="72" t="s">
        <v>1680</v>
      </c>
      <c r="C83" s="75" t="s">
        <v>99</v>
      </c>
      <c r="D83" s="72" t="s">
        <v>969</v>
      </c>
      <c r="E83" s="103" t="str">
        <f>HYPERLINK("https://youtu.be/Xv9k0BPNQhc","channel 1")</f>
        <v>channel 1</v>
      </c>
    </row>
    <row r="84">
      <c r="B84" s="72" t="s">
        <v>1200</v>
      </c>
      <c r="C84" s="75" t="s">
        <v>85</v>
      </c>
      <c r="D84" s="72" t="s">
        <v>1330</v>
      </c>
      <c r="E84" s="103" t="str">
        <f>HYPERLINK("https://youtu.be/-B8Pd1Khac4","channel 2")</f>
        <v>channel 2</v>
      </c>
    </row>
    <row r="85">
      <c r="B85" s="72" t="s">
        <v>1042</v>
      </c>
      <c r="C85" s="75" t="s">
        <v>538</v>
      </c>
      <c r="D85" s="72" t="s">
        <v>969</v>
      </c>
      <c r="E85" s="103" t="str">
        <f>HYPERLINK("https://youtu.be/hIjeCN3TqZQ","channel 1")</f>
        <v>channel 1</v>
      </c>
    </row>
    <row r="86">
      <c r="B86" s="72" t="s">
        <v>1200</v>
      </c>
      <c r="C86" s="75" t="s">
        <v>278</v>
      </c>
      <c r="D86" s="72" t="s">
        <v>1680</v>
      </c>
      <c r="E86" s="103" t="str">
        <f>HYPERLINK("https://youtu.be/o2pJmUdTvj8","channel 2")</f>
        <v>channel 2</v>
      </c>
    </row>
    <row r="87">
      <c r="B87" s="72" t="s">
        <v>1330</v>
      </c>
      <c r="C87" s="75" t="s">
        <v>671</v>
      </c>
      <c r="D87" s="72" t="s">
        <v>969</v>
      </c>
      <c r="E87" s="103" t="str">
        <f>HYPERLINK("https://youtu.be/UoRCpdZ2fXk","channel 1")</f>
        <v>channel 1</v>
      </c>
    </row>
    <row r="88">
      <c r="B88" s="72" t="s">
        <v>1042</v>
      </c>
      <c r="C88" s="75" t="s">
        <v>109</v>
      </c>
      <c r="D88" s="72" t="s">
        <v>1680</v>
      </c>
      <c r="E88" s="103" t="str">
        <f>HYPERLINK("https://youtu.be/4TQKNRkR8-0","channel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1198</v>
      </c>
      <c r="C3" s="12" t="s">
        <v>103</v>
      </c>
      <c r="D3" s="10" t="s">
        <v>1197</v>
      </c>
      <c r="E3" s="103" t="str">
        <f>HYPERLINK("https://youtu.be/034ok3Y6xfU","channel 1")</f>
        <v>channel 1</v>
      </c>
    </row>
    <row r="4">
      <c r="B4" s="10" t="s">
        <v>969</v>
      </c>
      <c r="C4" s="12" t="s">
        <v>10</v>
      </c>
      <c r="D4" s="10" t="s">
        <v>81</v>
      </c>
      <c r="E4" s="103" t="str">
        <f>HYPERLINK("https://youtu.be/WGue8l6fuls","channel 2")</f>
        <v>channel 2</v>
      </c>
    </row>
    <row r="5">
      <c r="B5" s="10" t="s">
        <v>1682</v>
      </c>
      <c r="C5" s="12" t="s">
        <v>190</v>
      </c>
      <c r="D5" s="10" t="s">
        <v>1198</v>
      </c>
      <c r="E5" s="103" t="str">
        <f>HYPERLINK("https://youtu.be/pwizhbnG_LM","channel 1")</f>
        <v>channel 1</v>
      </c>
    </row>
    <row r="6">
      <c r="B6" s="10" t="s">
        <v>969</v>
      </c>
      <c r="C6" s="12" t="s">
        <v>1683</v>
      </c>
      <c r="D6" s="10" t="s">
        <v>1197</v>
      </c>
      <c r="E6" s="103" t="str">
        <f>HYPERLINK("https://youtu.be/vYwWGBHGdfY","channel 2")</f>
        <v>channel 2</v>
      </c>
    </row>
    <row r="7">
      <c r="B7" s="10" t="s">
        <v>1682</v>
      </c>
      <c r="C7" s="12" t="s">
        <v>522</v>
      </c>
      <c r="D7" s="10" t="s">
        <v>81</v>
      </c>
      <c r="E7" s="103" t="str">
        <f>HYPERLINK("https://youtu.be/CkeaUqYhtQg","channel 1")</f>
        <v>channel 1</v>
      </c>
    </row>
    <row r="8">
      <c r="B8" s="10" t="s">
        <v>969</v>
      </c>
      <c r="C8" s="12" t="s">
        <v>1684</v>
      </c>
      <c r="D8" s="10" t="s">
        <v>1198</v>
      </c>
      <c r="E8" s="103" t="str">
        <f>HYPERLINK("https://youtu.be/d-xsyHavmmY","channel 2")</f>
        <v>channel 2</v>
      </c>
    </row>
    <row r="9">
      <c r="B9" s="10" t="s">
        <v>1682</v>
      </c>
      <c r="C9" s="12" t="s">
        <v>32</v>
      </c>
      <c r="D9" s="10" t="s">
        <v>1197</v>
      </c>
      <c r="E9" s="103" t="str">
        <f>HYPERLINK("https://youtu.be/gIb4DDV2iC0","channel 1")</f>
        <v>channel 1</v>
      </c>
    </row>
    <row r="10">
      <c r="B10" s="10" t="s">
        <v>81</v>
      </c>
      <c r="C10" s="12" t="s">
        <v>347</v>
      </c>
      <c r="D10" s="10" t="s">
        <v>1198</v>
      </c>
      <c r="E10" s="103" t="str">
        <f>HYPERLINK("https://youtu.be/qy1eUvtUKGQ","channel 2")</f>
        <v>channel 2</v>
      </c>
    </row>
    <row r="11">
      <c r="B11" s="10" t="s">
        <v>1682</v>
      </c>
      <c r="C11" s="12" t="s">
        <v>1687</v>
      </c>
      <c r="D11" s="10" t="s">
        <v>969</v>
      </c>
      <c r="E11" s="103" t="str">
        <f>HYPERLINK("https://youtu.be/JAzR_eVC37E","channel 1")</f>
        <v>channel 1</v>
      </c>
    </row>
    <row r="12">
      <c r="B12" s="10" t="s">
        <v>81</v>
      </c>
      <c r="C12" s="12" t="s">
        <v>179</v>
      </c>
      <c r="D12" s="10" t="s">
        <v>1197</v>
      </c>
      <c r="E12" s="103" t="str">
        <f>HYPERLINK("https://youtu.be/lPu-vssWu-A","channel 2")</f>
        <v>channel 2</v>
      </c>
    </row>
    <row r="13">
      <c r="B13" s="10" t="s">
        <v>1197</v>
      </c>
      <c r="C13" s="12" t="s">
        <v>211</v>
      </c>
      <c r="D13" s="10" t="s">
        <v>1198</v>
      </c>
      <c r="E13" s="103" t="str">
        <f>HYPERLINK("https://youtu.be/weHZeTWo5u4","channel 1")</f>
        <v>channel 1</v>
      </c>
    </row>
    <row r="14">
      <c r="B14" s="10" t="s">
        <v>81</v>
      </c>
      <c r="C14" s="12" t="s">
        <v>214</v>
      </c>
      <c r="D14" s="10" t="s">
        <v>969</v>
      </c>
      <c r="E14" s="103" t="str">
        <f>HYPERLINK("https://youtu.be/QI2B3NTgth8","channel 2")</f>
        <v>channel 2</v>
      </c>
    </row>
    <row r="15">
      <c r="B15" s="10" t="s">
        <v>1198</v>
      </c>
      <c r="C15" s="18" t="s">
        <v>11</v>
      </c>
      <c r="D15" s="10" t="s">
        <v>1682</v>
      </c>
      <c r="E15" s="103" t="str">
        <f>HYPERLINK("https://youtu.be/DpUY_p0y-xs","channel 1")</f>
        <v>channel 1</v>
      </c>
    </row>
    <row r="16">
      <c r="B16" s="104" t="s">
        <v>1197</v>
      </c>
      <c r="C16" s="18" t="s">
        <v>18</v>
      </c>
      <c r="D16" s="10" t="s">
        <v>969</v>
      </c>
      <c r="E16" s="103" t="str">
        <f>HYPERLINK("https://youtu.be/Qb4AkpXhP0s","channel 2")</f>
        <v>channel 2</v>
      </c>
    </row>
    <row r="17">
      <c r="B17" s="10" t="s">
        <v>81</v>
      </c>
      <c r="C17" s="18" t="s">
        <v>141</v>
      </c>
      <c r="D17" s="10" t="s">
        <v>1682</v>
      </c>
      <c r="E17" s="103" t="str">
        <f>HYPERLINK("https://youtu.be/KusuxmiDTOU","channel 1")</f>
        <v>channel 1</v>
      </c>
    </row>
    <row r="18">
      <c r="B18" s="10" t="s">
        <v>1198</v>
      </c>
      <c r="C18" s="18" t="s">
        <v>20</v>
      </c>
      <c r="D18" s="10" t="s">
        <v>969</v>
      </c>
      <c r="E18" s="103" t="str">
        <f>HYPERLINK("https://youtu.be/SWgrDdVeCpA","channel 2")</f>
        <v>channel 2</v>
      </c>
    </row>
    <row r="19">
      <c r="B19" s="10" t="s">
        <v>1197</v>
      </c>
      <c r="C19" s="18" t="s">
        <v>80</v>
      </c>
      <c r="D19" s="10" t="s">
        <v>1682</v>
      </c>
      <c r="E19" s="103" t="str">
        <f>HYPERLINK("https://youtu.be/dGp9IZIAUMQ","channel 1")</f>
        <v>channel 1</v>
      </c>
    </row>
    <row r="20">
      <c r="B20" s="10" t="s">
        <v>1198</v>
      </c>
      <c r="C20" s="18" t="s">
        <v>35</v>
      </c>
      <c r="D20" s="10" t="s">
        <v>81</v>
      </c>
      <c r="E20" s="103" t="str">
        <f>HYPERLINK("https://youtu.be/T2kVde1cOAg","channel 2")</f>
        <v>channel 2</v>
      </c>
    </row>
    <row r="21">
      <c r="B21" s="10" t="s">
        <v>969</v>
      </c>
      <c r="C21" s="18" t="s">
        <v>319</v>
      </c>
      <c r="D21" s="10" t="s">
        <v>1682</v>
      </c>
      <c r="E21" s="103" t="str">
        <f>HYPERLINK("https://youtu.be/bQn2K_DGXOM","channel 1")</f>
        <v>channel 1</v>
      </c>
    </row>
    <row r="22">
      <c r="B22" s="10" t="s">
        <v>1197</v>
      </c>
      <c r="C22" s="18" t="s">
        <v>10</v>
      </c>
      <c r="D22" s="10" t="s">
        <v>81</v>
      </c>
      <c r="E22" s="103" t="str">
        <f>HYPERLINK("https://youtu.be/9ABNe2cxbVI","channel 2")</f>
        <v>channel 2</v>
      </c>
    </row>
    <row r="23">
      <c r="B23" s="2" t="s">
        <v>1337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1689</v>
      </c>
      <c r="C25" s="70" t="s">
        <v>216</v>
      </c>
      <c r="D25" s="10" t="s">
        <v>1690</v>
      </c>
      <c r="E25" s="103" t="str">
        <f>HYPERLINK("https://youtu.be/STeEFLVEOfc","channel 1")</f>
        <v>channel 1</v>
      </c>
    </row>
    <row r="26">
      <c r="B26" s="72" t="s">
        <v>1248</v>
      </c>
      <c r="C26" s="73" t="s">
        <v>104</v>
      </c>
      <c r="D26" s="72" t="s">
        <v>1691</v>
      </c>
      <c r="E26" s="103" t="str">
        <f>HYPERLINK("https://youtu.be/-qWf5fyFQLY","channel 2")</f>
        <v>channel 2</v>
      </c>
    </row>
    <row r="27">
      <c r="B27" s="72" t="s">
        <v>1692</v>
      </c>
      <c r="C27" s="73" t="s">
        <v>99</v>
      </c>
      <c r="D27" s="72" t="s">
        <v>1689</v>
      </c>
      <c r="E27" s="103" t="str">
        <f>HYPERLINK("https://youtu.be/Ar4v4D8ClpU","channel 1")</f>
        <v>channel 1</v>
      </c>
    </row>
    <row r="28">
      <c r="B28" s="72" t="s">
        <v>1248</v>
      </c>
      <c r="C28" s="73" t="s">
        <v>46</v>
      </c>
      <c r="D28" s="72" t="s">
        <v>1690</v>
      </c>
      <c r="E28" s="103" t="str">
        <f>HYPERLINK("https://youtu.be/PKbt08Ds4Do","channel 2")</f>
        <v>channel 2</v>
      </c>
    </row>
    <row r="29">
      <c r="B29" s="72" t="s">
        <v>1692</v>
      </c>
      <c r="C29" s="73" t="s">
        <v>37</v>
      </c>
      <c r="D29" s="72" t="s">
        <v>1691</v>
      </c>
      <c r="E29" s="103" t="str">
        <f>HYPERLINK("https://youtu.be/tCR0NNtzWwM","channel 1")</f>
        <v>channel 1</v>
      </c>
    </row>
    <row r="30">
      <c r="B30" s="72" t="s">
        <v>1248</v>
      </c>
      <c r="C30" s="73" t="s">
        <v>1695</v>
      </c>
      <c r="D30" s="72" t="s">
        <v>1689</v>
      </c>
      <c r="E30" s="103" t="str">
        <f>HYPERLINK("https://youtu.be/ELqAhFEOK38","channel 2")</f>
        <v>channel 2</v>
      </c>
    </row>
    <row r="31">
      <c r="B31" s="72" t="s">
        <v>1692</v>
      </c>
      <c r="C31" s="73" t="s">
        <v>522</v>
      </c>
      <c r="D31" s="72" t="s">
        <v>1690</v>
      </c>
      <c r="E31" s="103" t="str">
        <f>HYPERLINK("https://youtu.be/XWk1IW7MKJI","channel 1")</f>
        <v>channel 1</v>
      </c>
    </row>
    <row r="32">
      <c r="B32" s="72" t="s">
        <v>1691</v>
      </c>
      <c r="C32" s="73" t="s">
        <v>204</v>
      </c>
      <c r="D32" s="72" t="s">
        <v>1689</v>
      </c>
      <c r="E32" s="103" t="str">
        <f>HYPERLINK("https://youtu.be/rQx9LBx-G7k","channel 2")</f>
        <v>channel 2</v>
      </c>
    </row>
    <row r="33">
      <c r="B33" s="72" t="s">
        <v>1692</v>
      </c>
      <c r="C33" s="73" t="s">
        <v>216</v>
      </c>
      <c r="D33" s="72" t="s">
        <v>1248</v>
      </c>
      <c r="E33" s="103" t="str">
        <f>HYPERLINK("https://youtu.be/4hWjdGGLS50","channel 1")</f>
        <v>channel 1</v>
      </c>
    </row>
    <row r="34">
      <c r="B34" s="72" t="s">
        <v>1691</v>
      </c>
      <c r="C34" s="73" t="s">
        <v>106</v>
      </c>
      <c r="D34" s="72" t="s">
        <v>1690</v>
      </c>
      <c r="E34" s="103" t="str">
        <f>HYPERLINK("https://youtu.be/cwVn9pymMdk","channel 2")</f>
        <v>channel 2</v>
      </c>
    </row>
    <row r="35">
      <c r="B35" s="72" t="s">
        <v>1690</v>
      </c>
      <c r="C35" s="73" t="s">
        <v>56</v>
      </c>
      <c r="D35" s="72" t="s">
        <v>1689</v>
      </c>
      <c r="E35" s="103" t="str">
        <f>HYPERLINK("https://youtu.be/9xkq-AkNHDU","channel 1")</f>
        <v>channel 1</v>
      </c>
    </row>
    <row r="36">
      <c r="B36" s="72" t="s">
        <v>1691</v>
      </c>
      <c r="C36" s="73" t="s">
        <v>311</v>
      </c>
      <c r="D36" s="72" t="s">
        <v>1248</v>
      </c>
      <c r="E36" s="103" t="str">
        <f>HYPERLINK("https://youtu.be/7T5m7FoWVFo","channel 2")</f>
        <v>channel 2</v>
      </c>
    </row>
    <row r="37">
      <c r="B37" s="72" t="s">
        <v>1689</v>
      </c>
      <c r="C37" s="75" t="s">
        <v>522</v>
      </c>
      <c r="D37" s="72" t="s">
        <v>1692</v>
      </c>
      <c r="E37" s="103" t="str">
        <f>HYPERLINK("https://youtu.be/PtEByOQwmNg","channel 1")</f>
        <v>channel 1</v>
      </c>
    </row>
    <row r="38">
      <c r="B38" s="72" t="s">
        <v>1690</v>
      </c>
      <c r="C38" s="75" t="s">
        <v>1698</v>
      </c>
      <c r="D38" s="72" t="s">
        <v>1248</v>
      </c>
      <c r="E38" s="103" t="str">
        <f>HYPERLINK("https://youtu.be/fd9wdrMNXVA","channel 2")</f>
        <v>channel 2</v>
      </c>
    </row>
    <row r="39">
      <c r="B39" s="72" t="s">
        <v>1691</v>
      </c>
      <c r="C39" s="75" t="s">
        <v>37</v>
      </c>
      <c r="D39" s="72" t="s">
        <v>1692</v>
      </c>
      <c r="E39" s="103" t="str">
        <f>HYPERLINK("https://youtu.be/h42xRQWJpEc","channel 1")</f>
        <v>channel 1</v>
      </c>
    </row>
    <row r="40">
      <c r="B40" s="72" t="s">
        <v>1689</v>
      </c>
      <c r="C40" s="75" t="s">
        <v>1699</v>
      </c>
      <c r="D40" s="72" t="s">
        <v>1248</v>
      </c>
      <c r="E40" s="103" t="str">
        <f>HYPERLINK("https://youtu.be/nI5Rl-eZEMw","channel 2")</f>
        <v>channel 2</v>
      </c>
    </row>
    <row r="41">
      <c r="B41" s="72" t="s">
        <v>1690</v>
      </c>
      <c r="C41" s="75" t="s">
        <v>30</v>
      </c>
      <c r="D41" s="72" t="s">
        <v>1692</v>
      </c>
      <c r="E41" s="103" t="str">
        <f>HYPERLINK("https://youtu.be/DH1jPdWtKzk","channel 1")</f>
        <v>channel 1</v>
      </c>
    </row>
    <row r="42">
      <c r="B42" s="72" t="s">
        <v>1689</v>
      </c>
      <c r="C42" s="75" t="s">
        <v>59</v>
      </c>
      <c r="D42" s="72" t="s">
        <v>1691</v>
      </c>
      <c r="E42" s="103" t="str">
        <f>HYPERLINK("https://youtu.be/ZKJIMWP1NVQ","channel 2")</f>
        <v>channel 2</v>
      </c>
    </row>
    <row r="43">
      <c r="B43" s="72" t="s">
        <v>1248</v>
      </c>
      <c r="C43" s="75" t="s">
        <v>33</v>
      </c>
      <c r="D43" s="72" t="s">
        <v>1692</v>
      </c>
      <c r="E43" s="103" t="str">
        <f>HYPERLINK("https://youtu.be/dzV0ZLDWZhs","channel 1")</f>
        <v>channel 1</v>
      </c>
    </row>
    <row r="44">
      <c r="B44" s="72" t="s">
        <v>1690</v>
      </c>
      <c r="C44" s="75" t="s">
        <v>156</v>
      </c>
      <c r="D44" s="72" t="s">
        <v>1691</v>
      </c>
      <c r="E44" s="103" t="str">
        <f>HYPERLINK("https://youtu.be/bzXsTMxsA58","channel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1685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1338</v>
      </c>
      <c r="C3" s="70" t="s">
        <v>34</v>
      </c>
      <c r="D3" s="10" t="s">
        <v>1686</v>
      </c>
      <c r="E3" s="103" t="str">
        <f>HYPERLINK("https://youtu.be/kzeX0OH_bbs","channel 1")</f>
        <v>channel 1</v>
      </c>
    </row>
    <row r="4">
      <c r="B4" s="72" t="s">
        <v>746</v>
      </c>
      <c r="C4" s="73" t="s">
        <v>135</v>
      </c>
      <c r="D4" s="72" t="s">
        <v>1688</v>
      </c>
      <c r="E4" s="103" t="str">
        <f>HYPERLINK("https://youtu.be/F5x9oZtNXgA","channel 2")</f>
        <v>channel 2</v>
      </c>
    </row>
    <row r="5">
      <c r="B5" s="72" t="s">
        <v>1109</v>
      </c>
      <c r="C5" s="73" t="s">
        <v>376</v>
      </c>
      <c r="D5" s="72" t="s">
        <v>1338</v>
      </c>
      <c r="E5" s="103" t="str">
        <f>HYPERLINK("https://youtu.be/c4AZ77SBkCA","channel 1")</f>
        <v>channel 1</v>
      </c>
    </row>
    <row r="6">
      <c r="B6" s="72" t="s">
        <v>746</v>
      </c>
      <c r="C6" s="73" t="s">
        <v>204</v>
      </c>
      <c r="D6" s="72" t="s">
        <v>1686</v>
      </c>
      <c r="E6" s="103" t="str">
        <f>HYPERLINK("https://youtu.be/W0jMb1iCt48","channel 2")</f>
        <v>channel 2</v>
      </c>
    </row>
    <row r="7">
      <c r="B7" s="72" t="s">
        <v>1109</v>
      </c>
      <c r="C7" s="73" t="s">
        <v>144</v>
      </c>
      <c r="D7" s="72" t="s">
        <v>1688</v>
      </c>
      <c r="E7" s="103" t="str">
        <f>HYPERLINK("https://youtu.be/H0R7b64zCbs","channel 1")</f>
        <v>channel 1</v>
      </c>
    </row>
    <row r="8">
      <c r="B8" s="72" t="s">
        <v>746</v>
      </c>
      <c r="C8" s="73" t="s">
        <v>38</v>
      </c>
      <c r="D8" s="72" t="s">
        <v>1338</v>
      </c>
      <c r="E8" s="103" t="str">
        <f>HYPERLINK("https://youtu.be/MiQzRQ15jBY","channel 2")</f>
        <v>channel 2</v>
      </c>
    </row>
    <row r="9">
      <c r="B9" s="72" t="s">
        <v>1109</v>
      </c>
      <c r="C9" s="73" t="s">
        <v>59</v>
      </c>
      <c r="D9" s="72" t="s">
        <v>1686</v>
      </c>
      <c r="E9" s="103" t="str">
        <f>HYPERLINK("https://youtu.be/Oo6bwRzd6m0","channel 1")</f>
        <v>channel 1</v>
      </c>
    </row>
    <row r="10">
      <c r="B10" s="72" t="s">
        <v>1688</v>
      </c>
      <c r="C10" s="73" t="s">
        <v>494</v>
      </c>
      <c r="D10" s="72" t="s">
        <v>1338</v>
      </c>
      <c r="E10" s="103" t="str">
        <f>HYPERLINK("https://youtu.be/PS2u4s5a03w","channel 2")</f>
        <v>channel 2</v>
      </c>
    </row>
    <row r="11">
      <c r="B11" s="72" t="s">
        <v>1109</v>
      </c>
      <c r="C11" s="73" t="s">
        <v>10</v>
      </c>
      <c r="D11" s="72" t="s">
        <v>746</v>
      </c>
      <c r="E11" s="103" t="str">
        <f>HYPERLINK("https://youtu.be/2MqhpJG5X00","channel 1")</f>
        <v>channel 1</v>
      </c>
    </row>
    <row r="12">
      <c r="B12" s="72" t="s">
        <v>1688</v>
      </c>
      <c r="C12" s="73" t="s">
        <v>223</v>
      </c>
      <c r="D12" s="72" t="s">
        <v>1686</v>
      </c>
      <c r="E12" s="103" t="str">
        <f>HYPERLINK("https://youtu.be/Ijhfy3GyumA","channel 2")</f>
        <v>channel 2</v>
      </c>
    </row>
    <row r="13">
      <c r="B13" s="72" t="s">
        <v>1686</v>
      </c>
      <c r="C13" s="73" t="s">
        <v>521</v>
      </c>
      <c r="D13" s="72" t="s">
        <v>1338</v>
      </c>
      <c r="E13" s="103" t="str">
        <f>HYPERLINK("https://youtu.be/FR_qkMv-p-I","channel 1")</f>
        <v>channel 1</v>
      </c>
    </row>
    <row r="14">
      <c r="B14" s="72" t="s">
        <v>1688</v>
      </c>
      <c r="C14" s="73" t="s">
        <v>145</v>
      </c>
      <c r="D14" s="72" t="s">
        <v>746</v>
      </c>
      <c r="E14" s="103" t="str">
        <f>HYPERLINK("https://youtu.be/vYCBFGPFUto","channel 2")</f>
        <v>channel 2</v>
      </c>
    </row>
    <row r="15">
      <c r="B15" s="72" t="s">
        <v>1338</v>
      </c>
      <c r="C15" s="75" t="s">
        <v>225</v>
      </c>
      <c r="D15" s="72" t="s">
        <v>1109</v>
      </c>
      <c r="E15" s="103" t="str">
        <f>HYPERLINK("https://youtu.be/j9qL3aJB8Mo","channel 1")</f>
        <v>channel 1</v>
      </c>
    </row>
    <row r="16">
      <c r="B16" s="72" t="s">
        <v>1686</v>
      </c>
      <c r="C16" s="75" t="s">
        <v>90</v>
      </c>
      <c r="D16" s="72" t="s">
        <v>746</v>
      </c>
      <c r="E16" s="103" t="str">
        <f>HYPERLINK("https://youtu.be/EoHE1NIKOuM","channel 2")</f>
        <v>channel 2</v>
      </c>
    </row>
    <row r="17">
      <c r="B17" s="72" t="s">
        <v>1688</v>
      </c>
      <c r="C17" s="75" t="s">
        <v>278</v>
      </c>
      <c r="D17" s="72" t="s">
        <v>1109</v>
      </c>
      <c r="E17" s="103" t="str">
        <f>HYPERLINK("https://youtu.be/ebPpNKcmziY","channel 1")</f>
        <v>channel 1</v>
      </c>
    </row>
    <row r="18">
      <c r="B18" s="72" t="s">
        <v>1338</v>
      </c>
      <c r="C18" s="75" t="s">
        <v>138</v>
      </c>
      <c r="D18" s="72" t="s">
        <v>746</v>
      </c>
      <c r="E18" s="103" t="str">
        <f>HYPERLINK("https://youtu.be/vRkbCjZFDsM","channel 2")</f>
        <v>channel 2</v>
      </c>
    </row>
    <row r="19">
      <c r="B19" s="72" t="s">
        <v>1686</v>
      </c>
      <c r="C19" s="75" t="s">
        <v>89</v>
      </c>
      <c r="D19" s="72" t="s">
        <v>1109</v>
      </c>
      <c r="E19" s="103" t="str">
        <f>HYPERLINK("https://youtu.be/U5PvC_qtPTo","channel 1")</f>
        <v>channel 1</v>
      </c>
    </row>
    <row r="20">
      <c r="B20" s="72" t="s">
        <v>1338</v>
      </c>
      <c r="C20" s="75" t="s">
        <v>193</v>
      </c>
      <c r="D20" s="72" t="s">
        <v>1688</v>
      </c>
      <c r="E20" s="103" t="str">
        <f>HYPERLINK("https://youtu.be/haY4LYjyT1g","channel 2")</f>
        <v>channel 2</v>
      </c>
    </row>
    <row r="21">
      <c r="B21" s="72" t="s">
        <v>746</v>
      </c>
      <c r="C21" s="75" t="s">
        <v>55</v>
      </c>
      <c r="D21" s="72" t="s">
        <v>1109</v>
      </c>
      <c r="E21" s="103" t="str">
        <f>HYPERLINK("https://youtu.be/HrrqLiSmV6U","channel 1")</f>
        <v>channel 1</v>
      </c>
    </row>
    <row r="22">
      <c r="B22" s="72" t="s">
        <v>1686</v>
      </c>
      <c r="C22" s="75" t="s">
        <v>143</v>
      </c>
      <c r="D22" s="72" t="s">
        <v>1688</v>
      </c>
      <c r="E22" s="103" t="str">
        <f>HYPERLINK("https://youtu.be/jelOCJiba2U","channel 2")</f>
        <v>channel 2</v>
      </c>
    </row>
    <row r="23">
      <c r="B23" s="2" t="s">
        <v>1239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1693</v>
      </c>
      <c r="C25" s="70" t="s">
        <v>225</v>
      </c>
      <c r="D25" s="10" t="s">
        <v>1694</v>
      </c>
      <c r="E25" s="103" t="str">
        <f>HYPERLINK("https://youtu.be/E1ZO4mmj9V8","channel 1")</f>
        <v>channel 1</v>
      </c>
    </row>
    <row r="26">
      <c r="B26" s="72" t="s">
        <v>1696</v>
      </c>
      <c r="C26" s="73" t="s">
        <v>87</v>
      </c>
      <c r="D26" s="72" t="s">
        <v>1141</v>
      </c>
      <c r="E26" s="103" t="str">
        <f>HYPERLINK("https://youtu.be/3GJfspeH0TA","channel 2")</f>
        <v>channel 2</v>
      </c>
    </row>
    <row r="27">
      <c r="B27" s="72" t="s">
        <v>1282</v>
      </c>
      <c r="C27" s="73" t="s">
        <v>1697</v>
      </c>
      <c r="D27" s="72" t="s">
        <v>1693</v>
      </c>
      <c r="E27" s="103" t="str">
        <f>HYPERLINK("https://youtu.be/XkHVCQOvoT4","channel 1")</f>
        <v>channel 1</v>
      </c>
    </row>
    <row r="28">
      <c r="B28" s="72" t="s">
        <v>1696</v>
      </c>
      <c r="C28" s="73" t="s">
        <v>675</v>
      </c>
      <c r="D28" s="72" t="s">
        <v>1694</v>
      </c>
      <c r="E28" s="103" t="str">
        <f>HYPERLINK("https://youtu.be/yWvgQXTubvI","channel 2")</f>
        <v>channel 2</v>
      </c>
    </row>
    <row r="29">
      <c r="B29" s="72" t="s">
        <v>1282</v>
      </c>
      <c r="C29" s="73" t="s">
        <v>106</v>
      </c>
      <c r="D29" s="72" t="s">
        <v>1141</v>
      </c>
      <c r="E29" s="103" t="str">
        <f>HYPERLINK("https://youtu.be/ktRzY175f8Q","channel 1")</f>
        <v>channel 1</v>
      </c>
    </row>
    <row r="30">
      <c r="B30" s="72" t="s">
        <v>1696</v>
      </c>
      <c r="C30" s="73" t="s">
        <v>214</v>
      </c>
      <c r="D30" s="72" t="s">
        <v>1693</v>
      </c>
      <c r="E30" s="103" t="str">
        <f>HYPERLINK("https://youtu.be/T1vZmxBLHYA","channel 2")</f>
        <v>channel 2</v>
      </c>
    </row>
    <row r="31">
      <c r="B31" s="72" t="s">
        <v>1282</v>
      </c>
      <c r="C31" s="73" t="s">
        <v>218</v>
      </c>
      <c r="D31" s="72" t="s">
        <v>1694</v>
      </c>
      <c r="E31" s="103" t="str">
        <f>HYPERLINK("https://youtu.be/oFQqsmMwX_U","channel 1")</f>
        <v>channel 1</v>
      </c>
    </row>
    <row r="32">
      <c r="B32" s="72" t="s">
        <v>1141</v>
      </c>
      <c r="C32" s="73" t="s">
        <v>99</v>
      </c>
      <c r="D32" s="72" t="s">
        <v>1693</v>
      </c>
      <c r="E32" s="103" t="str">
        <f>HYPERLINK("https://youtu.be/qX4vyH5E5E8","channel 2")</f>
        <v>channel 2</v>
      </c>
    </row>
    <row r="33">
      <c r="B33" s="72" t="s">
        <v>1282</v>
      </c>
      <c r="C33" s="73" t="s">
        <v>57</v>
      </c>
      <c r="D33" s="72" t="s">
        <v>1696</v>
      </c>
      <c r="E33" s="103" t="str">
        <f>HYPERLINK("https://youtu.be/ulZNdI-SKzA","channel 1")</f>
        <v>channel 1</v>
      </c>
    </row>
    <row r="34">
      <c r="B34" s="72" t="s">
        <v>1141</v>
      </c>
      <c r="C34" s="73" t="s">
        <v>111</v>
      </c>
      <c r="D34" s="72" t="s">
        <v>1694</v>
      </c>
      <c r="E34" s="103" t="str">
        <f>HYPERLINK("https://youtu.be/K1L9M4H9-GM","channel 2")</f>
        <v>channel 2</v>
      </c>
    </row>
    <row r="35">
      <c r="B35" s="72" t="s">
        <v>1694</v>
      </c>
      <c r="C35" s="73" t="s">
        <v>82</v>
      </c>
      <c r="D35" s="72" t="s">
        <v>1693</v>
      </c>
      <c r="E35" s="103" t="str">
        <f>HYPERLINK("https://youtu.be/7BYeig2gwyU","channel 1")</f>
        <v>channel 1</v>
      </c>
    </row>
    <row r="36">
      <c r="B36" s="72" t="s">
        <v>1141</v>
      </c>
      <c r="C36" s="73" t="s">
        <v>830</v>
      </c>
      <c r="D36" s="72" t="s">
        <v>1696</v>
      </c>
      <c r="E36" s="103" t="str">
        <f>HYPERLINK("https://youtu.be/arRTlBTzbLY","channel 2")</f>
        <v>channel 2</v>
      </c>
    </row>
    <row r="37">
      <c r="B37" s="72" t="s">
        <v>1693</v>
      </c>
      <c r="C37" s="75" t="s">
        <v>478</v>
      </c>
      <c r="D37" s="72" t="s">
        <v>1282</v>
      </c>
      <c r="E37" s="103" t="str">
        <f>HYPERLINK("https://youtu.be/Mli2nU7K5k4","channel 1")</f>
        <v>channel 1</v>
      </c>
    </row>
    <row r="38">
      <c r="B38" s="72" t="s">
        <v>1694</v>
      </c>
      <c r="C38" s="75" t="s">
        <v>204</v>
      </c>
      <c r="D38" s="72" t="s">
        <v>1696</v>
      </c>
      <c r="E38" s="103" t="str">
        <f>HYPERLINK("https://youtu.be/n9A5W8W8EH0","channel 2")</f>
        <v>channel 2</v>
      </c>
    </row>
    <row r="39">
      <c r="B39" s="72" t="s">
        <v>1141</v>
      </c>
      <c r="C39" s="75" t="s">
        <v>84</v>
      </c>
      <c r="D39" s="72" t="s">
        <v>1282</v>
      </c>
      <c r="E39" s="103" t="str">
        <f>HYPERLINK("https://youtu.be/FjhEu-45kzw","channel 1")</f>
        <v>channel 1</v>
      </c>
    </row>
    <row r="40">
      <c r="B40" s="72" t="s">
        <v>1693</v>
      </c>
      <c r="C40" s="75" t="s">
        <v>141</v>
      </c>
      <c r="D40" s="72" t="s">
        <v>1696</v>
      </c>
      <c r="E40" s="103" t="str">
        <f>HYPERLINK("https://youtu.be/nNKCR4o5968","channel 2")</f>
        <v>channel 2</v>
      </c>
    </row>
    <row r="41">
      <c r="B41" s="72" t="s">
        <v>1694</v>
      </c>
      <c r="C41" s="75" t="s">
        <v>278</v>
      </c>
      <c r="D41" s="72" t="s">
        <v>1282</v>
      </c>
      <c r="E41" s="103" t="str">
        <f>HYPERLINK("https://youtu.be/jUTO52TxmUY","channel 1")</f>
        <v>channel 1</v>
      </c>
    </row>
    <row r="42">
      <c r="B42" s="72" t="s">
        <v>1693</v>
      </c>
      <c r="C42" s="75" t="s">
        <v>545</v>
      </c>
      <c r="D42" s="72" t="s">
        <v>1141</v>
      </c>
      <c r="E42" s="103" t="str">
        <f>HYPERLINK("https://youtu.be/jwDD_CaDomE","channel 2")</f>
        <v>channel 2</v>
      </c>
    </row>
    <row r="43">
      <c r="B43" s="72" t="s">
        <v>1696</v>
      </c>
      <c r="C43" s="75" t="s">
        <v>143</v>
      </c>
      <c r="D43" s="72" t="s">
        <v>1282</v>
      </c>
      <c r="E43" s="103" t="str">
        <f>HYPERLINK("https://youtu.be/191lPxZ1DCo","channel 1")</f>
        <v>channel 1</v>
      </c>
    </row>
    <row r="44">
      <c r="B44" s="72" t="s">
        <v>1694</v>
      </c>
      <c r="C44" s="75" t="s">
        <v>1462</v>
      </c>
      <c r="D44" s="72" t="s">
        <v>1141</v>
      </c>
      <c r="E44" s="103" t="str">
        <f>HYPERLINK("https://youtu.be/P8KJtkttwe0","channel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531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1521</v>
      </c>
      <c r="C3" s="70" t="s">
        <v>117</v>
      </c>
      <c r="D3" s="71" t="s">
        <v>1700</v>
      </c>
      <c r="E3" s="108" t="str">
        <f>HYPERLINK("https://youtu.be/_Fsj1Z8lGvw","channel 1")</f>
        <v>channel 1</v>
      </c>
    </row>
    <row r="4">
      <c r="B4" s="72" t="s">
        <v>808</v>
      </c>
      <c r="C4" s="73" t="s">
        <v>10</v>
      </c>
      <c r="D4" s="74" t="s">
        <v>1701</v>
      </c>
      <c r="E4" s="103" t="str">
        <f>HYPERLINK("https://youtu.be/9ZPLLbxHg9M","channel 2")</f>
        <v>channel 2</v>
      </c>
    </row>
    <row r="5">
      <c r="B5" s="72" t="s">
        <v>605</v>
      </c>
      <c r="C5" s="73" t="s">
        <v>59</v>
      </c>
      <c r="D5" s="74" t="s">
        <v>1521</v>
      </c>
      <c r="E5" s="108" t="str">
        <f>HYPERLINK("https://youtu.be/1c2cjuVJvJw","channel 1")</f>
        <v>channel 1</v>
      </c>
    </row>
    <row r="6">
      <c r="B6" s="72" t="s">
        <v>808</v>
      </c>
      <c r="C6" s="73" t="s">
        <v>328</v>
      </c>
      <c r="D6" s="74" t="s">
        <v>1700</v>
      </c>
      <c r="E6" s="103" t="str">
        <f>HYPERLINK("https://youtu.be/MhcOU9lPxzo","channel 2")</f>
        <v>channel 2</v>
      </c>
    </row>
    <row r="7">
      <c r="B7" s="72" t="s">
        <v>605</v>
      </c>
      <c r="C7" s="73" t="s">
        <v>350</v>
      </c>
      <c r="D7" s="74" t="s">
        <v>1701</v>
      </c>
      <c r="E7" s="108" t="str">
        <f>HYPERLINK("https://youtu.be/om278tJ5oVo","channel 1")</f>
        <v>channel 1</v>
      </c>
    </row>
    <row r="8">
      <c r="B8" s="72" t="s">
        <v>808</v>
      </c>
      <c r="C8" s="73" t="s">
        <v>305</v>
      </c>
      <c r="D8" s="74" t="s">
        <v>1521</v>
      </c>
      <c r="E8" s="103" t="str">
        <f>HYPERLINK("https://youtu.be/ZAcZsaruWOM","channel 2")</f>
        <v>channel 2</v>
      </c>
    </row>
    <row r="9">
      <c r="B9" s="72" t="s">
        <v>605</v>
      </c>
      <c r="C9" s="73" t="s">
        <v>27</v>
      </c>
      <c r="D9" s="74" t="s">
        <v>1700</v>
      </c>
      <c r="E9" s="108" t="str">
        <f>HYPERLINK("https://youtu.be/a3tp_4jYXTc","channel 1")</f>
        <v>channel 1</v>
      </c>
    </row>
    <row r="10">
      <c r="B10" s="72" t="s">
        <v>1701</v>
      </c>
      <c r="C10" s="73" t="s">
        <v>108</v>
      </c>
      <c r="D10" s="74" t="s">
        <v>1521</v>
      </c>
      <c r="E10" s="103" t="str">
        <f>HYPERLINK("https://youtu.be/6gGXWd8EulM","channel 2")</f>
        <v>channel 2</v>
      </c>
    </row>
    <row r="11">
      <c r="B11" s="72" t="s">
        <v>605</v>
      </c>
      <c r="C11" s="73" t="s">
        <v>113</v>
      </c>
      <c r="D11" s="74" t="s">
        <v>808</v>
      </c>
      <c r="E11" s="108" t="str">
        <f>HYPERLINK("https://youtu.be/B9HU_hF7NIY","channel 1")</f>
        <v>channel 1</v>
      </c>
    </row>
    <row r="12">
      <c r="B12" s="72" t="s">
        <v>1701</v>
      </c>
      <c r="C12" s="73" t="s">
        <v>160</v>
      </c>
      <c r="D12" s="74" t="s">
        <v>1700</v>
      </c>
      <c r="E12" s="103" t="str">
        <f>HYPERLINK("https://youtu.be/O4zuQCdORtI","channel 2")</f>
        <v>channel 2</v>
      </c>
    </row>
    <row r="13">
      <c r="B13" s="72" t="s">
        <v>1700</v>
      </c>
      <c r="C13" s="73" t="s">
        <v>596</v>
      </c>
      <c r="D13" s="74" t="s">
        <v>1521</v>
      </c>
      <c r="E13" s="108" t="str">
        <f>HYPERLINK("https://youtu.be/4zyLH2d2Lg0","channel 1")</f>
        <v>channel 1</v>
      </c>
    </row>
    <row r="14">
      <c r="B14" s="72" t="s">
        <v>1701</v>
      </c>
      <c r="C14" s="73" t="s">
        <v>223</v>
      </c>
      <c r="D14" s="74" t="s">
        <v>808</v>
      </c>
      <c r="E14" s="103" t="str">
        <f>HYPERLINK("https://youtu.be/4owcbO8zGxw","channel 2")</f>
        <v>channel 2</v>
      </c>
    </row>
    <row r="15">
      <c r="B15" s="72" t="s">
        <v>1521</v>
      </c>
      <c r="C15" s="75" t="s">
        <v>106</v>
      </c>
      <c r="D15" s="74" t="s">
        <v>605</v>
      </c>
      <c r="E15" s="108" t="str">
        <f>HYPERLINK("https://youtu.be/J6bnSTbyiEY","channel 1")</f>
        <v>channel 1</v>
      </c>
    </row>
    <row r="16">
      <c r="B16" s="72" t="s">
        <v>1700</v>
      </c>
      <c r="C16" s="75" t="s">
        <v>38</v>
      </c>
      <c r="D16" s="74" t="s">
        <v>808</v>
      </c>
      <c r="E16" s="103" t="str">
        <f>HYPERLINK("https://youtu.be/DJlSvIo3i7c","channel 2")</f>
        <v>channel 2</v>
      </c>
    </row>
    <row r="17">
      <c r="B17" s="72" t="s">
        <v>1701</v>
      </c>
      <c r="C17" s="75" t="s">
        <v>310</v>
      </c>
      <c r="D17" s="74" t="s">
        <v>605</v>
      </c>
      <c r="E17" s="108" t="str">
        <f>HYPERLINK("https://youtu.be/Zo333dTTaDk","channel 1")</f>
        <v>channel 1</v>
      </c>
    </row>
    <row r="18">
      <c r="B18" s="72" t="s">
        <v>1521</v>
      </c>
      <c r="C18" s="75" t="s">
        <v>111</v>
      </c>
      <c r="D18" s="74" t="s">
        <v>808</v>
      </c>
      <c r="E18" s="103" t="str">
        <f>HYPERLINK("https://youtu.be/4sdKWDMaUI4","channel 2")</f>
        <v>channel 2</v>
      </c>
    </row>
    <row r="19">
      <c r="B19" s="72" t="s">
        <v>1700</v>
      </c>
      <c r="C19" s="73" t="s">
        <v>671</v>
      </c>
      <c r="D19" s="74" t="s">
        <v>605</v>
      </c>
      <c r="E19" s="108" t="str">
        <f>HYPERLINK("https://www.youtube.com/watch?v=A-zN4TxKvYU","channel 1")</f>
        <v>channel 1</v>
      </c>
    </row>
    <row r="20">
      <c r="B20" s="72" t="s">
        <v>1521</v>
      </c>
      <c r="C20" s="73" t="s">
        <v>141</v>
      </c>
      <c r="D20" s="74" t="s">
        <v>1701</v>
      </c>
      <c r="E20" s="103" t="str">
        <f>HYPERLINK("https://youtu.be/byboGV9SG-U","channel 2")</f>
        <v>channel 2</v>
      </c>
    </row>
    <row r="21">
      <c r="B21" s="72" t="s">
        <v>808</v>
      </c>
      <c r="C21" s="75" t="s">
        <v>103</v>
      </c>
      <c r="D21" s="74" t="s">
        <v>605</v>
      </c>
      <c r="E21" s="108" t="str">
        <f>HYPERLINK("https://youtu.be/IEUiJt-O_TA","channel 1")</f>
        <v>channel 1</v>
      </c>
    </row>
    <row r="22">
      <c r="B22" s="72" t="s">
        <v>1700</v>
      </c>
      <c r="C22" s="75" t="s">
        <v>1090</v>
      </c>
      <c r="D22" s="74" t="s">
        <v>1701</v>
      </c>
      <c r="E22" s="103" t="str">
        <f>HYPERLINK("https://youtu.be/SaKlaMIKgk0","channel 2")</f>
        <v>channel 2</v>
      </c>
    </row>
    <row r="23">
      <c r="B23" s="2" t="s">
        <v>1343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1429</v>
      </c>
      <c r="C25" s="70" t="s">
        <v>375</v>
      </c>
      <c r="D25" s="71" t="s">
        <v>1702</v>
      </c>
      <c r="E25" s="108" t="str">
        <f>HYPERLINK("https://youtu.be/TS91Q1tzwlc","channel 1")</f>
        <v>channel 1</v>
      </c>
    </row>
    <row r="26">
      <c r="B26" s="72" t="s">
        <v>1703</v>
      </c>
      <c r="C26" s="73" t="s">
        <v>108</v>
      </c>
      <c r="D26" s="74" t="s">
        <v>1704</v>
      </c>
      <c r="E26" s="103" t="str">
        <f>HYPERLINK("https://youtu.be/H6uDSwmDsUQ","channel 2")</f>
        <v>channel 2</v>
      </c>
    </row>
    <row r="27">
      <c r="B27" s="72" t="s">
        <v>1431</v>
      </c>
      <c r="C27" s="73" t="s">
        <v>47</v>
      </c>
      <c r="D27" s="74" t="s">
        <v>1429</v>
      </c>
      <c r="E27" s="108" t="str">
        <f>HYPERLINK("https://youtu.be/JIv5DD74SnA","channel 1")</f>
        <v>channel 1</v>
      </c>
    </row>
    <row r="28">
      <c r="B28" s="72" t="s">
        <v>1703</v>
      </c>
      <c r="C28" s="73" t="s">
        <v>736</v>
      </c>
      <c r="D28" s="74" t="s">
        <v>1702</v>
      </c>
      <c r="E28" s="103" t="str">
        <f>HYPERLINK("https://youtu.be/abqsK7vI6CI","channel 2")</f>
        <v>channel 2</v>
      </c>
    </row>
    <row r="29">
      <c r="B29" s="72" t="s">
        <v>1431</v>
      </c>
      <c r="C29" s="75" t="s">
        <v>38</v>
      </c>
      <c r="D29" s="74" t="s">
        <v>1704</v>
      </c>
      <c r="E29" s="108" t="str">
        <f>HYPERLINK("https://youtu.be/Kw2zWVjiRHs","channel 1")</f>
        <v>channel 1</v>
      </c>
    </row>
    <row r="30">
      <c r="B30" s="72" t="s">
        <v>1703</v>
      </c>
      <c r="C30" s="73" t="s">
        <v>74</v>
      </c>
      <c r="D30" s="74" t="s">
        <v>1429</v>
      </c>
      <c r="E30" s="103" t="str">
        <f>HYPERLINK("https://youtu.be/8UIOw-PssfU","channel 2")</f>
        <v>channel 2</v>
      </c>
    </row>
    <row r="31">
      <c r="B31" s="72" t="s">
        <v>1431</v>
      </c>
      <c r="C31" s="37" t="s">
        <v>395</v>
      </c>
      <c r="D31" s="74" t="s">
        <v>1702</v>
      </c>
      <c r="E31" s="108" t="str">
        <f>HYPERLINK("https://youtu.be/dgABxg2HnlQ","channel 1")</f>
        <v>channel 1</v>
      </c>
    </row>
    <row r="32">
      <c r="B32" s="72" t="s">
        <v>1704</v>
      </c>
      <c r="C32" s="70" t="s">
        <v>87</v>
      </c>
      <c r="D32" s="74" t="s">
        <v>1429</v>
      </c>
      <c r="E32" s="103" t="str">
        <f>HYPERLINK("https://youtu.be/d35yNurksYs","channel 2")</f>
        <v>channel 2</v>
      </c>
    </row>
    <row r="33">
      <c r="B33" s="72" t="s">
        <v>1431</v>
      </c>
      <c r="C33" s="73" t="s">
        <v>1153</v>
      </c>
      <c r="D33" s="74" t="s">
        <v>1703</v>
      </c>
      <c r="E33" s="108" t="str">
        <f>HYPERLINK("https://youtu.be/l7LSKC3f2oQ","channel 1")</f>
        <v>channel 1</v>
      </c>
    </row>
    <row r="34">
      <c r="B34" s="72" t="s">
        <v>1704</v>
      </c>
      <c r="C34" s="73" t="s">
        <v>135</v>
      </c>
      <c r="D34" s="74" t="s">
        <v>1702</v>
      </c>
      <c r="E34" s="103" t="str">
        <f>HYPERLINK("https://youtu.be/rMWECCRyn6M","channel 2")</f>
        <v>channel 2</v>
      </c>
    </row>
    <row r="35">
      <c r="B35" s="72" t="s">
        <v>1702</v>
      </c>
      <c r="C35" s="37" t="s">
        <v>37</v>
      </c>
      <c r="D35" s="74" t="s">
        <v>1429</v>
      </c>
      <c r="E35" s="108" t="str">
        <f>HYPERLINK("https://youtu.be/3EXwpZFTdV8","channel 1")</f>
        <v>channel 1</v>
      </c>
    </row>
    <row r="36">
      <c r="B36" s="72" t="s">
        <v>1704</v>
      </c>
      <c r="C36" s="70" t="s">
        <v>107</v>
      </c>
      <c r="D36" s="74" t="s">
        <v>1703</v>
      </c>
      <c r="E36" s="103" t="str">
        <f>HYPERLINK("https://youtu.be/Mf0K-SRJzSs","channel 2")</f>
        <v>channel 2</v>
      </c>
    </row>
    <row r="37">
      <c r="B37" s="72" t="s">
        <v>1429</v>
      </c>
      <c r="C37" s="75" t="s">
        <v>180</v>
      </c>
      <c r="D37" s="74" t="s">
        <v>1431</v>
      </c>
      <c r="E37" s="108" t="str">
        <f>HYPERLINK("https://youtu.be/SNy0pq2PXzY","channel 1")</f>
        <v>channel 1</v>
      </c>
    </row>
    <row r="38">
      <c r="B38" s="72" t="s">
        <v>1702</v>
      </c>
      <c r="C38" s="75" t="s">
        <v>20</v>
      </c>
      <c r="D38" s="74" t="s">
        <v>1703</v>
      </c>
      <c r="E38" s="103" t="str">
        <f>HYPERLINK("https://youtu.be/W7atD6_W4mY","channel 2")</f>
        <v>channel 2</v>
      </c>
    </row>
    <row r="39">
      <c r="B39" s="72" t="s">
        <v>1704</v>
      </c>
      <c r="C39" s="75" t="s">
        <v>194</v>
      </c>
      <c r="D39" s="74" t="s">
        <v>1431</v>
      </c>
      <c r="E39" s="108" t="str">
        <f>HYPERLINK("https://youtu.be/8KkWYKdN6qQ","channel 1")</f>
        <v>channel 1</v>
      </c>
    </row>
    <row r="40">
      <c r="B40" s="72" t="s">
        <v>1429</v>
      </c>
      <c r="C40" s="75" t="s">
        <v>56</v>
      </c>
      <c r="D40" s="74" t="s">
        <v>1703</v>
      </c>
      <c r="E40" s="103" t="str">
        <f>HYPERLINK("https://youtu.be/cQNmvaJXjcc","channel 2")</f>
        <v>channel 2</v>
      </c>
    </row>
    <row r="41">
      <c r="B41" s="72" t="s">
        <v>1702</v>
      </c>
      <c r="C41" s="73" t="s">
        <v>32</v>
      </c>
      <c r="D41" s="74" t="s">
        <v>1431</v>
      </c>
      <c r="E41" s="108" t="str">
        <f>HYPERLINK("https://youtu.be/Pdn17cD2NcU","channel 1")</f>
        <v>channel 1</v>
      </c>
    </row>
    <row r="42">
      <c r="B42" s="72" t="s">
        <v>1429</v>
      </c>
      <c r="C42" s="73" t="s">
        <v>1414</v>
      </c>
      <c r="D42" s="74" t="s">
        <v>1704</v>
      </c>
      <c r="E42" s="103" t="str">
        <f>HYPERLINK("https://youtu.be/vB7z6TQ7qb4","channel 2")</f>
        <v>channel 2</v>
      </c>
    </row>
    <row r="43">
      <c r="B43" s="72" t="s">
        <v>1703</v>
      </c>
      <c r="C43" s="75" t="s">
        <v>146</v>
      </c>
      <c r="D43" s="74" t="s">
        <v>1431</v>
      </c>
      <c r="E43" s="108" t="str">
        <f>HYPERLINK("https://youtu.be/Jw3b3LnFd2k","channel 1")</f>
        <v>channel 1</v>
      </c>
    </row>
    <row r="44">
      <c r="B44" s="72" t="s">
        <v>1702</v>
      </c>
      <c r="C44" s="75" t="s">
        <v>538</v>
      </c>
      <c r="D44" s="74" t="s">
        <v>1704</v>
      </c>
      <c r="E44" s="103" t="str">
        <f>HYPERLINK("https://youtu.be/vQOMokdFXbM","channel 2")</f>
        <v>channel 2</v>
      </c>
    </row>
    <row r="45">
      <c r="B45" s="58" t="s">
        <v>202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1705</v>
      </c>
      <c r="C47" s="70" t="s">
        <v>89</v>
      </c>
      <c r="D47" s="71" t="s">
        <v>1075</v>
      </c>
      <c r="E47" s="108" t="str">
        <f>HYPERLINK("https://youtu.be/diqgd-S32UY","channel 1")</f>
        <v>channel 1</v>
      </c>
    </row>
    <row r="48">
      <c r="B48" s="72" t="s">
        <v>1706</v>
      </c>
      <c r="C48" s="73" t="s">
        <v>37</v>
      </c>
      <c r="D48" s="74" t="s">
        <v>1440</v>
      </c>
      <c r="E48" s="103" t="str">
        <f>HYPERLINK("https://youtu.be/ElBnxire2iQ","channel 2")</f>
        <v>channel 2</v>
      </c>
    </row>
    <row r="49">
      <c r="B49" s="72" t="s">
        <v>1707</v>
      </c>
      <c r="C49" s="73" t="s">
        <v>141</v>
      </c>
      <c r="D49" s="74" t="s">
        <v>1705</v>
      </c>
      <c r="E49" s="108" t="str">
        <f>HYPERLINK("https://youtu.be/ngRMS7XRuME","channel 1")</f>
        <v>channel 1</v>
      </c>
    </row>
    <row r="50">
      <c r="B50" s="72" t="s">
        <v>1706</v>
      </c>
      <c r="C50" s="73" t="s">
        <v>49</v>
      </c>
      <c r="D50" s="74" t="s">
        <v>1075</v>
      </c>
      <c r="E50" s="103" t="str">
        <f>HYPERLINK("https://youtu.be/gsDU2iuMJMg","channel 2")</f>
        <v>channel 2</v>
      </c>
    </row>
    <row r="51">
      <c r="B51" s="72" t="s">
        <v>1707</v>
      </c>
      <c r="C51" s="73" t="s">
        <v>144</v>
      </c>
      <c r="D51" s="74" t="s">
        <v>1440</v>
      </c>
      <c r="E51" s="108" t="str">
        <f>HYPERLINK("https://youtu.be/OMVwh1DSJJg","channel 1")</f>
        <v>channel 1</v>
      </c>
    </row>
    <row r="52">
      <c r="B52" s="72" t="s">
        <v>1706</v>
      </c>
      <c r="C52" s="73" t="s">
        <v>141</v>
      </c>
      <c r="D52" s="74" t="s">
        <v>1705</v>
      </c>
      <c r="E52" s="103" t="str">
        <f>HYPERLINK("https://youtu.be/9gKjIjBPrcI","channel 2")</f>
        <v>channel 2</v>
      </c>
    </row>
    <row r="53">
      <c r="B53" s="72" t="s">
        <v>1707</v>
      </c>
      <c r="C53" s="73" t="s">
        <v>144</v>
      </c>
      <c r="D53" s="74" t="s">
        <v>1075</v>
      </c>
      <c r="E53" s="108" t="str">
        <f>HYPERLINK("https://youtu.be/W83n0EdDrss","channel 1")</f>
        <v>channel 1</v>
      </c>
    </row>
    <row r="54">
      <c r="B54" s="72" t="s">
        <v>1440</v>
      </c>
      <c r="C54" s="73" t="s">
        <v>133</v>
      </c>
      <c r="D54" s="74" t="s">
        <v>1705</v>
      </c>
      <c r="E54" s="103" t="str">
        <f>HYPERLINK("https://youtu.be/IOpu2p2YuHE","channel 2")</f>
        <v>channel 2</v>
      </c>
    </row>
    <row r="55">
      <c r="B55" s="72" t="s">
        <v>1707</v>
      </c>
      <c r="C55" s="73" t="s">
        <v>272</v>
      </c>
      <c r="D55" s="74" t="s">
        <v>1706</v>
      </c>
      <c r="E55" s="108" t="str">
        <f>HYPERLINK("https://youtu.be/ZusrjmX2gpQ","channel 1")</f>
        <v>channel 1</v>
      </c>
    </row>
    <row r="56">
      <c r="B56" s="72" t="s">
        <v>1440</v>
      </c>
      <c r="C56" s="73" t="s">
        <v>311</v>
      </c>
      <c r="D56" s="74" t="s">
        <v>1075</v>
      </c>
      <c r="E56" s="103" t="str">
        <f>HYPERLINK("https://youtu.be/LeZLkwRpmvM","channel 2")</f>
        <v>channel 2</v>
      </c>
    </row>
    <row r="57">
      <c r="B57" s="72" t="s">
        <v>1075</v>
      </c>
      <c r="C57" s="73" t="s">
        <v>47</v>
      </c>
      <c r="D57" s="74" t="s">
        <v>1705</v>
      </c>
      <c r="E57" s="108" t="str">
        <f>HYPERLINK("https://youtu.be/ySw57tK0buI","channel 1")</f>
        <v>channel 1</v>
      </c>
    </row>
    <row r="58">
      <c r="B58" s="72" t="s">
        <v>1440</v>
      </c>
      <c r="C58" s="73" t="s">
        <v>44</v>
      </c>
      <c r="D58" s="74" t="s">
        <v>1706</v>
      </c>
      <c r="E58" s="103" t="str">
        <f>HYPERLINK("https://youtu.be/Xxzi-P_egew","channel 2")</f>
        <v>channel 2</v>
      </c>
    </row>
    <row r="59">
      <c r="B59" s="72" t="s">
        <v>1705</v>
      </c>
      <c r="C59" s="75" t="s">
        <v>107</v>
      </c>
      <c r="D59" s="74" t="s">
        <v>1707</v>
      </c>
      <c r="E59" s="108" t="str">
        <f>HYPERLINK("https://youtu.be/4xc7HiGSndw","channel 1")</f>
        <v>channel 1</v>
      </c>
    </row>
    <row r="60">
      <c r="B60" s="72" t="s">
        <v>1075</v>
      </c>
      <c r="C60" s="75" t="s">
        <v>358</v>
      </c>
      <c r="D60" s="74" t="s">
        <v>1706</v>
      </c>
      <c r="E60" s="103" t="str">
        <f>HYPERLINK("https://youtu.be/28ycO2JTxSA","channel 2")</f>
        <v>channel 2</v>
      </c>
    </row>
    <row r="61">
      <c r="B61" s="72" t="s">
        <v>1440</v>
      </c>
      <c r="C61" s="75" t="s">
        <v>42</v>
      </c>
      <c r="D61" s="74" t="s">
        <v>1707</v>
      </c>
      <c r="E61" s="108" t="str">
        <f>HYPERLINK("https://youtu.be/ZyJNsrgsut8","channel 1")</f>
        <v>channel 1</v>
      </c>
    </row>
    <row r="62">
      <c r="B62" s="72" t="s">
        <v>1705</v>
      </c>
      <c r="C62" s="75" t="s">
        <v>30</v>
      </c>
      <c r="D62" s="74" t="s">
        <v>1706</v>
      </c>
      <c r="E62" s="103" t="str">
        <f>HYPERLINK("https://youtu.be/Gqvw71TvLBM","channel 2")</f>
        <v>channel 2</v>
      </c>
    </row>
    <row r="63">
      <c r="B63" s="72" t="s">
        <v>1075</v>
      </c>
      <c r="C63" s="73" t="s">
        <v>232</v>
      </c>
      <c r="D63" s="74" t="s">
        <v>1707</v>
      </c>
      <c r="E63" s="108" t="str">
        <f>HYPERLINK("https://youtu.be/-NDPk55Esmg","channel 1")</f>
        <v>channel 1</v>
      </c>
    </row>
    <row r="64">
      <c r="B64" s="72" t="s">
        <v>1705</v>
      </c>
      <c r="C64" s="73" t="s">
        <v>397</v>
      </c>
      <c r="D64" s="74" t="s">
        <v>1440</v>
      </c>
      <c r="E64" s="103" t="str">
        <f>HYPERLINK("https://youtu.be/cPHXh4j91Ow","channel 2")</f>
        <v>channel 2</v>
      </c>
    </row>
    <row r="65">
      <c r="B65" s="72" t="s">
        <v>1706</v>
      </c>
      <c r="C65" s="75" t="s">
        <v>93</v>
      </c>
      <c r="D65" s="74" t="s">
        <v>1707</v>
      </c>
      <c r="E65" s="108" t="str">
        <f>HYPERLINK("https://youtu.be/xAsJG4Bwji8","channel 1")</f>
        <v>channel 1</v>
      </c>
    </row>
    <row r="66">
      <c r="B66" s="72" t="s">
        <v>1075</v>
      </c>
      <c r="C66" s="75" t="s">
        <v>392</v>
      </c>
      <c r="D66" s="74" t="s">
        <v>1440</v>
      </c>
      <c r="E66" s="103" t="str">
        <f>HYPERLINK("https://youtu.be/nbc2IdCVoUw","channel 2")</f>
        <v>channel 2</v>
      </c>
    </row>
    <row r="67">
      <c r="B67" s="58" t="s">
        <v>134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1401</v>
      </c>
      <c r="C69" s="70" t="s">
        <v>337</v>
      </c>
      <c r="D69" s="71" t="s">
        <v>1474</v>
      </c>
      <c r="E69" s="108" t="str">
        <f>HYPERLINK("https://youtu.be/BrhHH3B8aWQ","channel 1")</f>
        <v>channel 1</v>
      </c>
    </row>
    <row r="70">
      <c r="B70" s="72" t="s">
        <v>1311</v>
      </c>
      <c r="C70" s="73" t="s">
        <v>405</v>
      </c>
      <c r="D70" s="74" t="s">
        <v>1708</v>
      </c>
      <c r="E70" s="103" t="str">
        <f>HYPERLINK("https://youtu.be/l4PIRk-MEeY","channel 2")</f>
        <v>channel 2</v>
      </c>
    </row>
    <row r="71">
      <c r="B71" s="72" t="s">
        <v>796</v>
      </c>
      <c r="C71" s="73" t="s">
        <v>24</v>
      </c>
      <c r="D71" s="74" t="s">
        <v>1401</v>
      </c>
      <c r="E71" s="108" t="str">
        <f>HYPERLINK("https://youtu.be/Z7-zvev1LiY","channel 1")</f>
        <v>channel 1</v>
      </c>
    </row>
    <row r="72">
      <c r="B72" s="72" t="s">
        <v>1311</v>
      </c>
      <c r="C72" s="73" t="s">
        <v>343</v>
      </c>
      <c r="D72" s="74" t="s">
        <v>1474</v>
      </c>
      <c r="E72" s="103" t="str">
        <f>HYPERLINK("https://youtu.be/RCFlgy-sBew","channel 2")</f>
        <v>channel 2</v>
      </c>
    </row>
    <row r="73">
      <c r="B73" s="72" t="s">
        <v>796</v>
      </c>
      <c r="C73" s="73" t="s">
        <v>210</v>
      </c>
      <c r="D73" s="74" t="s">
        <v>1708</v>
      </c>
      <c r="E73" s="108" t="str">
        <f>HYPERLINK("https://youtu.be/Wy80twUkzYs","channel 1")</f>
        <v>channel 1</v>
      </c>
    </row>
    <row r="74">
      <c r="B74" s="72" t="s">
        <v>1311</v>
      </c>
      <c r="C74" s="73" t="s">
        <v>278</v>
      </c>
      <c r="D74" s="74" t="s">
        <v>1401</v>
      </c>
      <c r="E74" s="103" t="str">
        <f>HYPERLINK("https://youtu.be/GK-TouKZg50","channel 2")</f>
        <v>channel 2</v>
      </c>
    </row>
    <row r="75">
      <c r="B75" s="72" t="s">
        <v>796</v>
      </c>
      <c r="C75" s="73" t="s">
        <v>74</v>
      </c>
      <c r="D75" s="74" t="s">
        <v>1474</v>
      </c>
      <c r="E75" s="108" t="str">
        <f>HYPERLINK("https://youtu.be/6ki8QriKXWM","channel 1")</f>
        <v>channel 1</v>
      </c>
    </row>
    <row r="76">
      <c r="B76" s="72" t="s">
        <v>1708</v>
      </c>
      <c r="C76" s="73" t="s">
        <v>759</v>
      </c>
      <c r="D76" s="74" t="s">
        <v>1401</v>
      </c>
      <c r="E76" s="103" t="str">
        <f>HYPERLINK("https://youtu.be/_5m3TPGFkgI","channel 2")</f>
        <v>channel 2</v>
      </c>
    </row>
    <row r="77">
      <c r="B77" s="72" t="s">
        <v>796</v>
      </c>
      <c r="C77" s="73" t="s">
        <v>458</v>
      </c>
      <c r="D77" s="74" t="s">
        <v>1311</v>
      </c>
      <c r="E77" s="108" t="str">
        <f>HYPERLINK("https://youtu.be/1SFD0QJzaLY","channel 1")</f>
        <v>channel 1</v>
      </c>
    </row>
    <row r="78">
      <c r="B78" s="72" t="s">
        <v>1708</v>
      </c>
      <c r="C78" s="73" t="s">
        <v>46</v>
      </c>
      <c r="D78" s="74" t="s">
        <v>1474</v>
      </c>
      <c r="E78" s="103" t="str">
        <f>HYPERLINK("https://youtu.be/hdcQ9L3zgBg","channel 2")</f>
        <v>channel 2</v>
      </c>
    </row>
    <row r="79">
      <c r="B79" s="72" t="s">
        <v>1474</v>
      </c>
      <c r="C79" s="73" t="s">
        <v>97</v>
      </c>
      <c r="D79" s="74" t="s">
        <v>1401</v>
      </c>
      <c r="E79" s="108" t="str">
        <f>HYPERLINK("https://youtu.be/k6EumiKVM2w","channel 1")</f>
        <v>channel 1</v>
      </c>
    </row>
    <row r="80">
      <c r="B80" s="72" t="s">
        <v>1708</v>
      </c>
      <c r="C80" s="73" t="s">
        <v>93</v>
      </c>
      <c r="D80" s="74" t="s">
        <v>1311</v>
      </c>
      <c r="E80" s="103" t="str">
        <f>HYPERLINK("https://youtu.be/X2lQX-3a7pQ","channel 2")</f>
        <v>channel 2</v>
      </c>
    </row>
    <row r="81">
      <c r="B81" s="72" t="s">
        <v>1401</v>
      </c>
      <c r="C81" s="75" t="s">
        <v>97</v>
      </c>
      <c r="D81" s="74" t="s">
        <v>796</v>
      </c>
      <c r="E81" s="108" t="str">
        <f>HYPERLINK("https://youtu.be/6dOhtPi4Q10","channel 1")</f>
        <v>channel 1</v>
      </c>
    </row>
    <row r="82">
      <c r="B82" s="72" t="s">
        <v>1474</v>
      </c>
      <c r="C82" s="75" t="s">
        <v>418</v>
      </c>
      <c r="D82" s="74" t="s">
        <v>1311</v>
      </c>
      <c r="E82" s="103" t="str">
        <f>HYPERLINK("https://youtu.be/4qwpesvEpS8","channel 2")</f>
        <v>channel 2</v>
      </c>
    </row>
    <row r="83">
      <c r="B83" s="72" t="s">
        <v>1708</v>
      </c>
      <c r="C83" s="75" t="s">
        <v>573</v>
      </c>
      <c r="D83" s="74" t="s">
        <v>796</v>
      </c>
      <c r="E83" s="108" t="str">
        <f>HYPERLINK("https://youtu.be/uZno0HIBKsc","channel 1")</f>
        <v>channel 1</v>
      </c>
    </row>
    <row r="84">
      <c r="B84" s="72" t="s">
        <v>1401</v>
      </c>
      <c r="C84" s="75" t="s">
        <v>232</v>
      </c>
      <c r="D84" s="74" t="s">
        <v>1311</v>
      </c>
      <c r="E84" s="103" t="str">
        <f>HYPERLINK("https://youtu.be/GC9Safcq6cI","channel 2")</f>
        <v>channel 2</v>
      </c>
    </row>
    <row r="85">
      <c r="B85" s="72" t="s">
        <v>1474</v>
      </c>
      <c r="C85" s="73" t="s">
        <v>179</v>
      </c>
      <c r="D85" s="74" t="s">
        <v>796</v>
      </c>
      <c r="E85" s="108" t="str">
        <f>HYPERLINK("https://youtu.be/6co0Etd_rys","channel 1")</f>
        <v>channel 1</v>
      </c>
    </row>
    <row r="86">
      <c r="B86" s="72" t="s">
        <v>1401</v>
      </c>
      <c r="C86" s="73" t="s">
        <v>328</v>
      </c>
      <c r="D86" s="74" t="s">
        <v>1708</v>
      </c>
      <c r="E86" s="103" t="str">
        <f>HYPERLINK("https://youtu.be/UgwgzDPKJrA","channel 2")</f>
        <v>channel 2</v>
      </c>
    </row>
    <row r="87">
      <c r="B87" s="72" t="s">
        <v>1311</v>
      </c>
      <c r="C87" s="75" t="s">
        <v>117</v>
      </c>
      <c r="D87" s="74" t="s">
        <v>796</v>
      </c>
      <c r="E87" s="108" t="str">
        <f>HYPERLINK("https://youtu.be/q8dwxfS7b5M","channel 1")</f>
        <v>channel 1</v>
      </c>
    </row>
    <row r="88">
      <c r="B88" s="72" t="s">
        <v>1474</v>
      </c>
      <c r="C88" s="75" t="s">
        <v>157</v>
      </c>
      <c r="D88" s="74" t="s">
        <v>1708</v>
      </c>
      <c r="E88" s="103" t="str">
        <f>HYPERLINK("https://youtu.be/U78lX54BLAw","channel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1709</v>
      </c>
      <c r="C3" s="70" t="s">
        <v>992</v>
      </c>
      <c r="D3" s="71" t="s">
        <v>1710</v>
      </c>
      <c r="E3" s="108" t="str">
        <f>HYPERLINK("https://youtu.be/7rdvt6pTkVo","channel 1")</f>
        <v>channel 1</v>
      </c>
    </row>
    <row r="4">
      <c r="B4" s="72" t="s">
        <v>833</v>
      </c>
      <c r="C4" s="73" t="s">
        <v>255</v>
      </c>
      <c r="D4" s="74" t="s">
        <v>1399</v>
      </c>
      <c r="E4" s="103" t="str">
        <f>HYPERLINK("https://youtu.be/BHEtKgJWXPI","channel 2")</f>
        <v>channel 2</v>
      </c>
    </row>
    <row r="5">
      <c r="B5" s="72" t="s">
        <v>627</v>
      </c>
      <c r="C5" s="73" t="s">
        <v>106</v>
      </c>
      <c r="D5" s="74" t="s">
        <v>1709</v>
      </c>
      <c r="E5" s="108" t="str">
        <f>HYPERLINK("https://youtu.be/2yY-aP9GZmM","channel 1")</f>
        <v>channel 1</v>
      </c>
    </row>
    <row r="6">
      <c r="B6" s="72" t="s">
        <v>833</v>
      </c>
      <c r="C6" s="73" t="s">
        <v>806</v>
      </c>
      <c r="D6" s="74" t="s">
        <v>1710</v>
      </c>
      <c r="E6" s="111" t="s">
        <v>28</v>
      </c>
    </row>
    <row r="7">
      <c r="B7" s="72" t="s">
        <v>627</v>
      </c>
      <c r="C7" s="73" t="s">
        <v>148</v>
      </c>
      <c r="D7" s="74" t="s">
        <v>1399</v>
      </c>
      <c r="E7" s="108" t="str">
        <f>HYPERLINK("https://youtu.be/Fy50ohG0LBk","channel 1")</f>
        <v>channel 1</v>
      </c>
    </row>
    <row r="8">
      <c r="B8" s="72" t="s">
        <v>833</v>
      </c>
      <c r="C8" s="73" t="s">
        <v>55</v>
      </c>
      <c r="D8" s="74" t="s">
        <v>1709</v>
      </c>
      <c r="E8" s="103" t="str">
        <f>HYPERLINK("https://youtu.be/GA6t9RkvlYY","channel 2")</f>
        <v>channel 2</v>
      </c>
    </row>
    <row r="9">
      <c r="B9" s="72" t="s">
        <v>627</v>
      </c>
      <c r="C9" s="73" t="s">
        <v>97</v>
      </c>
      <c r="D9" s="74" t="s">
        <v>1710</v>
      </c>
      <c r="E9" s="108" t="str">
        <f>HYPERLINK("https://youtu.be/n818Tu9v8Fg","channel 1")</f>
        <v>channel 1</v>
      </c>
    </row>
    <row r="10">
      <c r="B10" s="72" t="s">
        <v>1399</v>
      </c>
      <c r="C10" s="73" t="s">
        <v>55</v>
      </c>
      <c r="D10" s="74" t="s">
        <v>1709</v>
      </c>
      <c r="E10" s="103" t="str">
        <f>HYPERLINK("https://youtu.be/jbeOTN1GHCE","channel 2")</f>
        <v>channel 2</v>
      </c>
    </row>
    <row r="11">
      <c r="B11" s="72" t="s">
        <v>627</v>
      </c>
      <c r="C11" s="73" t="s">
        <v>37</v>
      </c>
      <c r="D11" s="74" t="s">
        <v>833</v>
      </c>
      <c r="E11" s="108" t="str">
        <f>HYPERLINK("https://youtu.be/yPPh8j_29SA","channel 1")</f>
        <v>channel 1</v>
      </c>
    </row>
    <row r="12">
      <c r="B12" s="72" t="s">
        <v>1399</v>
      </c>
      <c r="C12" s="73" t="s">
        <v>156</v>
      </c>
      <c r="D12" s="74" t="s">
        <v>1710</v>
      </c>
      <c r="E12" s="111" t="s">
        <v>28</v>
      </c>
    </row>
    <row r="13">
      <c r="B13" s="72" t="s">
        <v>1710</v>
      </c>
      <c r="C13" s="73" t="s">
        <v>138</v>
      </c>
      <c r="D13" s="74" t="s">
        <v>1709</v>
      </c>
      <c r="E13" s="108" t="str">
        <f>HYPERLINK("https://youtu.be/QOe-sXLILVU","channel 1")</f>
        <v>channel 1</v>
      </c>
    </row>
    <row r="14">
      <c r="B14" s="72" t="s">
        <v>1399</v>
      </c>
      <c r="C14" s="73" t="s">
        <v>156</v>
      </c>
      <c r="D14" s="74" t="s">
        <v>833</v>
      </c>
      <c r="E14" s="103" t="str">
        <f>HYPERLINK("https://youtu.be/LbSa2gUdDK8","channel 2")</f>
        <v>channel 2</v>
      </c>
    </row>
    <row r="15">
      <c r="B15" s="72" t="s">
        <v>1709</v>
      </c>
      <c r="C15" s="75" t="s">
        <v>144</v>
      </c>
      <c r="D15" s="74" t="s">
        <v>627</v>
      </c>
      <c r="E15" s="108" t="str">
        <f>HYPERLINK("https://youtu.be/5mWyt7MG6Sw","channel 1")</f>
        <v>channel 1</v>
      </c>
    </row>
    <row r="16">
      <c r="B16" s="72" t="s">
        <v>1710</v>
      </c>
      <c r="C16" s="75" t="s">
        <v>37</v>
      </c>
      <c r="D16" s="74" t="s">
        <v>833</v>
      </c>
      <c r="E16" s="103" t="str">
        <f>HYPERLINK("https://youtu.be/841YDPcCipU","channel 2")</f>
        <v>channel 2</v>
      </c>
    </row>
    <row r="17">
      <c r="B17" s="72" t="s">
        <v>1399</v>
      </c>
      <c r="C17" s="75" t="s">
        <v>124</v>
      </c>
      <c r="D17" s="74" t="s">
        <v>627</v>
      </c>
      <c r="E17" s="108" t="str">
        <f>HYPERLINK("https://youtu.be/V9a36viUJHc","channel 1")</f>
        <v>channel 1</v>
      </c>
    </row>
    <row r="18">
      <c r="B18" s="72" t="s">
        <v>1709</v>
      </c>
      <c r="C18" s="75" t="s">
        <v>311</v>
      </c>
      <c r="D18" s="74" t="s">
        <v>833</v>
      </c>
      <c r="E18" s="103" t="str">
        <f>HYPERLINK("https://youtu.be/dLvsnbOpNmc","channel 2")</f>
        <v>channel 2</v>
      </c>
    </row>
    <row r="19">
      <c r="B19" s="72" t="s">
        <v>1710</v>
      </c>
      <c r="C19" s="73" t="s">
        <v>214</v>
      </c>
      <c r="D19" s="74" t="s">
        <v>627</v>
      </c>
      <c r="E19" s="108" t="str">
        <f>HYPERLINK("https://youtu.be/FuABpS6BWW8","channel 1")</f>
        <v>channel 1</v>
      </c>
    </row>
    <row r="20">
      <c r="B20" s="72" t="s">
        <v>1709</v>
      </c>
      <c r="C20" s="73" t="s">
        <v>97</v>
      </c>
      <c r="D20" s="74" t="s">
        <v>1399</v>
      </c>
      <c r="E20" s="103" t="str">
        <f>HYPERLINK("https://youtu.be/FRhwOlQBMYI","channel 2")</f>
        <v>channel 2</v>
      </c>
    </row>
    <row r="21">
      <c r="B21" s="72" t="s">
        <v>833</v>
      </c>
      <c r="C21" s="75" t="s">
        <v>124</v>
      </c>
      <c r="D21" s="74" t="s">
        <v>627</v>
      </c>
      <c r="E21" s="108" t="str">
        <f>HYPERLINK("https://youtu.be/j0Ekd1zahqE","channel 1")</f>
        <v>channel 1</v>
      </c>
    </row>
    <row r="22">
      <c r="B22" s="72" t="s">
        <v>1710</v>
      </c>
      <c r="C22" s="75" t="s">
        <v>458</v>
      </c>
      <c r="D22" s="74" t="s">
        <v>1399</v>
      </c>
      <c r="E22" s="103" t="str">
        <f>HYPERLINK("https://youtu.be/o9InAZGE6II","channel 2")</f>
        <v>channel 2</v>
      </c>
    </row>
    <row r="23">
      <c r="B23" s="2" t="s">
        <v>64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1714</v>
      </c>
      <c r="C25" s="70" t="s">
        <v>89</v>
      </c>
      <c r="D25" s="71" t="s">
        <v>1715</v>
      </c>
      <c r="E25" s="108" t="str">
        <f>HYPERLINK("https://youtu.be/lVSfMREFuBo","channel 1")</f>
        <v>channel 1</v>
      </c>
    </row>
    <row r="26">
      <c r="B26" s="72" t="s">
        <v>245</v>
      </c>
      <c r="C26" s="73" t="s">
        <v>322</v>
      </c>
      <c r="D26" s="74" t="s">
        <v>718</v>
      </c>
      <c r="E26" s="103" t="str">
        <f>HYPERLINK("https://youtu.be/7jrhrBppReE","channel 2")</f>
        <v>channel 2</v>
      </c>
    </row>
    <row r="27">
      <c r="B27" s="72" t="s">
        <v>1098</v>
      </c>
      <c r="C27" s="73" t="s">
        <v>145</v>
      </c>
      <c r="D27" s="74" t="s">
        <v>1714</v>
      </c>
      <c r="E27" s="108" t="str">
        <f>HYPERLINK("https://youtu.be/4c_EiQtUFCI","channel 1")</f>
        <v>channel 1</v>
      </c>
    </row>
    <row r="28">
      <c r="B28" s="72" t="s">
        <v>245</v>
      </c>
      <c r="C28" s="73" t="s">
        <v>526</v>
      </c>
      <c r="D28" s="74" t="s">
        <v>1715</v>
      </c>
      <c r="E28" s="103" t="str">
        <f>HYPERLINK("https://youtu.be/C6t3OUBVVF4","channel 2")</f>
        <v>channel 2</v>
      </c>
    </row>
    <row r="29">
      <c r="B29" s="72" t="s">
        <v>1098</v>
      </c>
      <c r="C29" s="73" t="s">
        <v>10</v>
      </c>
      <c r="D29" s="74" t="s">
        <v>718</v>
      </c>
      <c r="E29" s="108" t="str">
        <f>HYPERLINK("https://youtu.be/9Xp_3PxvrUk","channel 1")</f>
        <v>channel 1</v>
      </c>
    </row>
    <row r="30">
      <c r="B30" s="72" t="s">
        <v>245</v>
      </c>
      <c r="C30" s="73" t="s">
        <v>89</v>
      </c>
      <c r="D30" s="74" t="s">
        <v>1714</v>
      </c>
      <c r="E30" s="103" t="str">
        <f>HYPERLINK("https://youtu.be/1ZZB55CRw20","channel 2")</f>
        <v>channel 2</v>
      </c>
    </row>
    <row r="31">
      <c r="B31" s="72" t="s">
        <v>1098</v>
      </c>
      <c r="C31" s="73" t="s">
        <v>337</v>
      </c>
      <c r="D31" s="74" t="s">
        <v>1715</v>
      </c>
      <c r="E31" s="108" t="str">
        <f>HYPERLINK("https://youtu.be/tzjD7W7q1jQ","channel 1")</f>
        <v>channel 1</v>
      </c>
    </row>
    <row r="32">
      <c r="B32" s="72" t="s">
        <v>718</v>
      </c>
      <c r="C32" s="73" t="s">
        <v>145</v>
      </c>
      <c r="D32" s="74" t="s">
        <v>1714</v>
      </c>
      <c r="E32" s="103" t="str">
        <f>HYPERLINK("https://youtu.be/FVV3vT1aFW4","channel 2")</f>
        <v>channel 2</v>
      </c>
    </row>
    <row r="33">
      <c r="B33" s="72" t="s">
        <v>1098</v>
      </c>
      <c r="C33" s="73" t="s">
        <v>1071</v>
      </c>
      <c r="D33" s="74" t="s">
        <v>245</v>
      </c>
      <c r="E33" s="108" t="str">
        <f>HYPERLINK("https://youtu.be/wQDvCj3S-kk","channel 1")</f>
        <v>channel 1</v>
      </c>
    </row>
    <row r="34">
      <c r="B34" s="72" t="s">
        <v>718</v>
      </c>
      <c r="C34" s="73" t="s">
        <v>37</v>
      </c>
      <c r="D34" s="74" t="s">
        <v>1715</v>
      </c>
      <c r="E34" s="103" t="str">
        <f>HYPERLINK("https://youtu.be/lL31AhREEzI","channel 2")</f>
        <v>channel 2</v>
      </c>
    </row>
    <row r="35">
      <c r="B35" s="72" t="s">
        <v>1715</v>
      </c>
      <c r="C35" s="73" t="s">
        <v>759</v>
      </c>
      <c r="D35" s="74" t="s">
        <v>1714</v>
      </c>
      <c r="E35" s="108" t="str">
        <f>HYPERLINK("https://youtu.be/f9yULd0oWMs","channel 1")</f>
        <v>channel 1</v>
      </c>
    </row>
    <row r="36">
      <c r="B36" s="72" t="s">
        <v>718</v>
      </c>
      <c r="C36" s="73" t="s">
        <v>132</v>
      </c>
      <c r="D36" s="74" t="s">
        <v>245</v>
      </c>
      <c r="E36" s="103" t="str">
        <f>HYPERLINK("https://youtu.be/Wh4cJuLS8U0","channel 2")</f>
        <v>channel 2</v>
      </c>
    </row>
    <row r="37">
      <c r="B37" s="72" t="s">
        <v>1714</v>
      </c>
      <c r="C37" s="75" t="s">
        <v>226</v>
      </c>
      <c r="D37" s="74" t="s">
        <v>1098</v>
      </c>
      <c r="E37" s="108" t="str">
        <f>HYPERLINK("https://youtu.be/2LGVeIZjYxw","channel 1")</f>
        <v>channel 1</v>
      </c>
    </row>
    <row r="38">
      <c r="B38" s="72" t="s">
        <v>1715</v>
      </c>
      <c r="C38" s="75" t="s">
        <v>104</v>
      </c>
      <c r="D38" s="74" t="s">
        <v>245</v>
      </c>
      <c r="E38" s="103" t="str">
        <f>HYPERLINK("https://youtu.be/743lyHBXV9s","channel 2")</f>
        <v>channel 2</v>
      </c>
    </row>
    <row r="39">
      <c r="B39" s="72" t="s">
        <v>718</v>
      </c>
      <c r="C39" s="75" t="s">
        <v>223</v>
      </c>
      <c r="D39" s="74" t="s">
        <v>1098</v>
      </c>
      <c r="E39" s="108" t="str">
        <f>HYPERLINK("https://youtu.be/MBRKITDDOMg","channel 1")</f>
        <v>channel 1</v>
      </c>
    </row>
    <row r="40">
      <c r="B40" s="72" t="s">
        <v>1714</v>
      </c>
      <c r="C40" s="75" t="s">
        <v>143</v>
      </c>
      <c r="D40" s="74" t="s">
        <v>245</v>
      </c>
      <c r="E40" s="103" t="str">
        <f>HYPERLINK("https://youtu.be/dlHvwrn0ctU","channel 2")</f>
        <v>channel 2</v>
      </c>
    </row>
    <row r="41">
      <c r="B41" s="72" t="s">
        <v>1715</v>
      </c>
      <c r="C41" s="73" t="s">
        <v>759</v>
      </c>
      <c r="D41" s="74" t="s">
        <v>1098</v>
      </c>
      <c r="E41" s="108" t="str">
        <f>HYPERLINK("https://youtu.be/UUU3okJ2_OE","channel 1")</f>
        <v>channel 1</v>
      </c>
    </row>
    <row r="42">
      <c r="B42" s="72" t="s">
        <v>1714</v>
      </c>
      <c r="C42" s="73" t="s">
        <v>10</v>
      </c>
      <c r="D42" s="74" t="s">
        <v>718</v>
      </c>
      <c r="E42" s="103" t="str">
        <f>HYPERLINK("https://youtu.be/oBGV0H6pDgM","channel 2")</f>
        <v>channel 2</v>
      </c>
    </row>
    <row r="43">
      <c r="B43" s="72" t="s">
        <v>245</v>
      </c>
      <c r="C43" s="75" t="s">
        <v>138</v>
      </c>
      <c r="D43" s="74" t="s">
        <v>1098</v>
      </c>
      <c r="E43" s="108" t="str">
        <f>HYPERLINK("https://youtu.be/-r3vGkuTrzE","channel 1")</f>
        <v>channel 1</v>
      </c>
    </row>
    <row r="44">
      <c r="B44" s="72" t="s">
        <v>1715</v>
      </c>
      <c r="C44" s="75" t="s">
        <v>859</v>
      </c>
      <c r="D44" s="74" t="s">
        <v>718</v>
      </c>
      <c r="E44" s="103" t="str">
        <f>HYPERLINK("https://youtu.be/h6kFwUTBPWM","channel 2")</f>
        <v>channel 2</v>
      </c>
    </row>
    <row r="45">
      <c r="B45" s="58" t="s">
        <v>546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1132</v>
      </c>
      <c r="C47" s="70" t="s">
        <v>49</v>
      </c>
      <c r="D47" s="71" t="s">
        <v>655</v>
      </c>
      <c r="E47" s="108" t="str">
        <f>HYPERLINK("https://youtu.be/EkNygER2wzI","channel 1")</f>
        <v>channel 1</v>
      </c>
    </row>
    <row r="48">
      <c r="B48" s="72" t="s">
        <v>1720</v>
      </c>
      <c r="C48" s="73" t="s">
        <v>522</v>
      </c>
      <c r="D48" s="74" t="s">
        <v>1721</v>
      </c>
      <c r="E48" s="103" t="str">
        <f>HYPERLINK("https://youtu.be/iuzTQPJB7Ss","channel 2")</f>
        <v>channel 2</v>
      </c>
    </row>
    <row r="49">
      <c r="B49" s="72" t="s">
        <v>1315</v>
      </c>
      <c r="C49" s="73" t="s">
        <v>49</v>
      </c>
      <c r="D49" s="74" t="s">
        <v>1132</v>
      </c>
      <c r="E49" s="108" t="str">
        <f>HYPERLINK("https://youtu.be/_OXC3_bqYwk","channel 1")</f>
        <v>channel 1</v>
      </c>
    </row>
    <row r="50">
      <c r="B50" s="72" t="s">
        <v>1720</v>
      </c>
      <c r="C50" s="73" t="s">
        <v>82</v>
      </c>
      <c r="D50" s="74" t="s">
        <v>655</v>
      </c>
      <c r="E50" s="103" t="str">
        <f>HYPERLINK("https://youtu.be/QfosLmX4a40","channel 2")</f>
        <v>channel 2</v>
      </c>
    </row>
    <row r="51">
      <c r="B51" s="72" t="s">
        <v>1315</v>
      </c>
      <c r="C51" s="73" t="s">
        <v>99</v>
      </c>
      <c r="D51" s="74" t="s">
        <v>1721</v>
      </c>
      <c r="E51" s="108" t="str">
        <f>HYPERLINK("https://youtu.be/1_pD-rPPkHo","channel 1")</f>
        <v>channel 1</v>
      </c>
    </row>
    <row r="52">
      <c r="B52" s="72" t="s">
        <v>1720</v>
      </c>
      <c r="C52" s="73" t="s">
        <v>278</v>
      </c>
      <c r="D52" s="74" t="s">
        <v>1132</v>
      </c>
      <c r="E52" s="103" t="str">
        <f>HYPERLINK("https://youtu.be/jcH-fXyhRqY","channel 2")</f>
        <v>channel 2</v>
      </c>
    </row>
    <row r="53">
      <c r="B53" s="72" t="s">
        <v>1315</v>
      </c>
      <c r="C53" s="73" t="s">
        <v>241</v>
      </c>
      <c r="D53" s="74" t="s">
        <v>655</v>
      </c>
      <c r="E53" s="108" t="str">
        <f>HYPERLINK("https://youtu.be/_05sd-VEQZg","channel 1")</f>
        <v>channel 1</v>
      </c>
    </row>
    <row r="54">
      <c r="B54" s="72" t="s">
        <v>1721</v>
      </c>
      <c r="C54" s="73" t="s">
        <v>117</v>
      </c>
      <c r="D54" s="74" t="s">
        <v>1132</v>
      </c>
      <c r="E54" s="103" t="str">
        <f>HYPERLINK("https://youtu.be/yTjLHVxs4Qw","channel 2")</f>
        <v>channel 2</v>
      </c>
    </row>
    <row r="55">
      <c r="B55" s="72" t="s">
        <v>1315</v>
      </c>
      <c r="C55" s="73" t="s">
        <v>59</v>
      </c>
      <c r="D55" s="74" t="s">
        <v>1720</v>
      </c>
      <c r="E55" s="108" t="str">
        <f>HYPERLINK("https://youtu.be/_05sd-VEQZg","channel 1")</f>
        <v>channel 1</v>
      </c>
    </row>
    <row r="56">
      <c r="B56" s="72" t="s">
        <v>1721</v>
      </c>
      <c r="C56" s="73" t="s">
        <v>241</v>
      </c>
      <c r="D56" s="74" t="s">
        <v>655</v>
      </c>
      <c r="E56" s="103" t="str">
        <f>HYPERLINK("https://youtu.be/fUprYP9YyPU","channel 2")</f>
        <v>channel 2</v>
      </c>
    </row>
    <row r="57">
      <c r="B57" s="72" t="s">
        <v>655</v>
      </c>
      <c r="C57" s="73" t="s">
        <v>226</v>
      </c>
      <c r="D57" s="74" t="s">
        <v>1132</v>
      </c>
      <c r="E57" s="108" t="str">
        <f>HYPERLINK("https://youtu.be/61yLkCDOqvQ","channel 1")</f>
        <v>channel 1</v>
      </c>
    </row>
    <row r="58">
      <c r="B58" s="72" t="s">
        <v>1721</v>
      </c>
      <c r="C58" s="73" t="s">
        <v>577</v>
      </c>
      <c r="D58" s="74" t="s">
        <v>1720</v>
      </c>
      <c r="E58" s="103" t="str">
        <f>HYPERLINK("https://youtu.be/kAznTkE03S0","channel 2")</f>
        <v>channel 2</v>
      </c>
    </row>
    <row r="59">
      <c r="B59" s="72" t="s">
        <v>1132</v>
      </c>
      <c r="C59" s="75" t="s">
        <v>135</v>
      </c>
      <c r="D59" s="74" t="s">
        <v>1315</v>
      </c>
      <c r="E59" s="108" t="str">
        <f>HYPERLINK("https://youtu.be/6-8ZB-d8Yds","channel 1")</f>
        <v>channel 1</v>
      </c>
    </row>
    <row r="60">
      <c r="B60" s="72" t="s">
        <v>655</v>
      </c>
      <c r="C60" s="75" t="s">
        <v>97</v>
      </c>
      <c r="D60" s="74" t="s">
        <v>1720</v>
      </c>
      <c r="E60" s="103" t="str">
        <f>HYPERLINK("https://youtu.be/0b89IDu-R34","channel 2")</f>
        <v>channel 2</v>
      </c>
    </row>
    <row r="61">
      <c r="B61" s="72" t="s">
        <v>1721</v>
      </c>
      <c r="C61" s="75" t="s">
        <v>111</v>
      </c>
      <c r="D61" s="74" t="s">
        <v>1315</v>
      </c>
      <c r="E61" s="108" t="str">
        <f>HYPERLINK("https://youtu.be/T2oWFZ0qFwk","channel 1")</f>
        <v>channel 1</v>
      </c>
    </row>
    <row r="62">
      <c r="B62" s="72" t="s">
        <v>1132</v>
      </c>
      <c r="C62" s="75" t="s">
        <v>34</v>
      </c>
      <c r="D62" s="74" t="s">
        <v>1720</v>
      </c>
      <c r="E62" s="103" t="str">
        <f>HYPERLINK("https://youtu.be/u_fs7O5bTTw","channel 2")</f>
        <v>channel 2</v>
      </c>
    </row>
    <row r="63">
      <c r="B63" s="72" t="s">
        <v>655</v>
      </c>
      <c r="C63" s="73" t="s">
        <v>143</v>
      </c>
      <c r="D63" s="74" t="s">
        <v>1315</v>
      </c>
      <c r="E63" s="108" t="str">
        <f>HYPERLINK("https://youtu.be/wUijzU7MdLs","channel 1")</f>
        <v>channel 1</v>
      </c>
    </row>
    <row r="64">
      <c r="B64" s="72" t="s">
        <v>1132</v>
      </c>
      <c r="C64" s="73" t="s">
        <v>319</v>
      </c>
      <c r="D64" s="74" t="s">
        <v>1721</v>
      </c>
      <c r="E64" s="103" t="str">
        <f>HYPERLINK("https://youtu.be/LQZqiASk6n4","channel 2")</f>
        <v>channel 2</v>
      </c>
    </row>
    <row r="65">
      <c r="B65" s="72" t="s">
        <v>1720</v>
      </c>
      <c r="C65" s="75" t="s">
        <v>319</v>
      </c>
      <c r="D65" s="74" t="s">
        <v>1315</v>
      </c>
      <c r="E65" s="108" t="str">
        <f>HYPERLINK("https://youtu.be/o4z7x7-bhSs","channel 1")</f>
        <v>channel 1</v>
      </c>
    </row>
    <row r="66">
      <c r="B66" s="72" t="s">
        <v>655</v>
      </c>
      <c r="C66" s="75" t="s">
        <v>160</v>
      </c>
      <c r="D66" s="74" t="s">
        <v>1721</v>
      </c>
      <c r="E66" s="103" t="str">
        <f>HYPERLINK("https://youtu.be/rCSVlMWTrrg","channel 2")</f>
        <v>channel 2</v>
      </c>
    </row>
    <row r="67">
      <c r="B67" s="58" t="s">
        <v>1405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663</v>
      </c>
      <c r="C69" s="70" t="s">
        <v>237</v>
      </c>
      <c r="D69" s="71" t="s">
        <v>286</v>
      </c>
      <c r="E69" s="108" t="str">
        <f>HYPERLINK("https://youtu.be/4NvX8yOjxwE","channel 1")</f>
        <v>channel 1</v>
      </c>
    </row>
    <row r="70">
      <c r="B70" s="72" t="s">
        <v>256</v>
      </c>
      <c r="C70" s="73" t="s">
        <v>694</v>
      </c>
      <c r="D70" s="74" t="s">
        <v>1041</v>
      </c>
      <c r="E70" s="103" t="str">
        <f>HYPERLINK("https://youtu.be/165TV9VA2n0","channel 2")</f>
        <v>channel 2</v>
      </c>
    </row>
    <row r="71">
      <c r="B71" s="72" t="s">
        <v>1365</v>
      </c>
      <c r="C71" s="73" t="s">
        <v>214</v>
      </c>
      <c r="D71" s="74" t="s">
        <v>663</v>
      </c>
      <c r="E71" s="108" t="str">
        <f>HYPERLINK("https://youtu.be/y85Bnr63-Rc","channel 1")</f>
        <v>channel 1</v>
      </c>
    </row>
    <row r="72">
      <c r="B72" s="72" t="s">
        <v>256</v>
      </c>
      <c r="C72" s="73" t="s">
        <v>265</v>
      </c>
      <c r="D72" s="74" t="s">
        <v>286</v>
      </c>
      <c r="E72" s="103" t="str">
        <f>HYPERLINK("https://youtu.be/P8zTC-5ES_E","channel 2")</f>
        <v>channel 2</v>
      </c>
    </row>
    <row r="73">
      <c r="B73" s="72" t="s">
        <v>1365</v>
      </c>
      <c r="C73" s="73" t="s">
        <v>102</v>
      </c>
      <c r="D73" s="74" t="s">
        <v>1041</v>
      </c>
      <c r="E73" s="108" t="str">
        <f>HYPERLINK("https://youtu.be/I-tVNOtQXSM","channel 1")</f>
        <v>channel 1</v>
      </c>
    </row>
    <row r="74">
      <c r="B74" s="72" t="s">
        <v>256</v>
      </c>
      <c r="C74" s="73" t="s">
        <v>89</v>
      </c>
      <c r="D74" s="74" t="s">
        <v>663</v>
      </c>
      <c r="E74" s="103" t="str">
        <f>HYPERLINK("https://youtu.be/-xTjvz2Pl1g","channel 2")</f>
        <v>channel 2</v>
      </c>
    </row>
    <row r="75">
      <c r="B75" s="72" t="s">
        <v>1365</v>
      </c>
      <c r="C75" s="73" t="s">
        <v>18</v>
      </c>
      <c r="D75" s="74" t="s">
        <v>286</v>
      </c>
      <c r="E75" s="108" t="str">
        <f>HYPERLINK("https://youtu.be/q-8vRjg8BTc","channel 1")</f>
        <v>channel 1</v>
      </c>
    </row>
    <row r="76">
      <c r="B76" s="72" t="s">
        <v>1041</v>
      </c>
      <c r="C76" s="73" t="s">
        <v>46</v>
      </c>
      <c r="D76" s="74" t="s">
        <v>663</v>
      </c>
      <c r="E76" s="103" t="str">
        <f>HYPERLINK("https://youtu.be/4FqaeVmuheU","channel 2")</f>
        <v>channel 2</v>
      </c>
    </row>
    <row r="77">
      <c r="B77" s="72" t="s">
        <v>1365</v>
      </c>
      <c r="C77" s="73" t="s">
        <v>423</v>
      </c>
      <c r="D77" s="74" t="s">
        <v>256</v>
      </c>
      <c r="E77" s="108" t="str">
        <f>HYPERLINK("https://youtu.be/gA3y5Y4Djkg","channel 1")</f>
        <v>channel 1</v>
      </c>
    </row>
    <row r="78">
      <c r="B78" s="72" t="s">
        <v>1041</v>
      </c>
      <c r="C78" s="73" t="s">
        <v>237</v>
      </c>
      <c r="D78" s="74" t="s">
        <v>286</v>
      </c>
      <c r="E78" s="103" t="str">
        <f>HYPERLINK("https://youtu.be/k_CjrRynjMs","channel 2")</f>
        <v>channel 2</v>
      </c>
    </row>
    <row r="79">
      <c r="B79" s="72" t="s">
        <v>286</v>
      </c>
      <c r="C79" s="73" t="s">
        <v>232</v>
      </c>
      <c r="D79" s="74" t="s">
        <v>663</v>
      </c>
      <c r="E79" s="108" t="str">
        <f>HYPERLINK("https://youtu.be/_LzAYLiyx_4","channel 1")</f>
        <v>channel 1</v>
      </c>
    </row>
    <row r="80">
      <c r="B80" s="72" t="s">
        <v>1041</v>
      </c>
      <c r="C80" s="73" t="s">
        <v>237</v>
      </c>
      <c r="D80" s="74" t="s">
        <v>256</v>
      </c>
      <c r="E80" s="103" t="str">
        <f>HYPERLINK("https://youtu.be/6nYpaVF_HbE","channel 2")</f>
        <v>channel 2</v>
      </c>
    </row>
    <row r="81">
      <c r="B81" s="72" t="s">
        <v>663</v>
      </c>
      <c r="C81" s="75" t="s">
        <v>106</v>
      </c>
      <c r="D81" s="74" t="s">
        <v>1365</v>
      </c>
      <c r="E81" s="108" t="str">
        <f>HYPERLINK("https://youtu.be/i8XoEai6lgs","channel 1")</f>
        <v>channel 1</v>
      </c>
    </row>
    <row r="82">
      <c r="B82" s="72" t="s">
        <v>286</v>
      </c>
      <c r="C82" s="75" t="s">
        <v>623</v>
      </c>
      <c r="D82" s="74" t="s">
        <v>256</v>
      </c>
      <c r="E82" s="103" t="str">
        <f>HYPERLINK("https://youtu.be/Kv_ohh00lCk","channel 2")</f>
        <v>channel 2</v>
      </c>
    </row>
    <row r="83">
      <c r="B83" s="72" t="s">
        <v>1041</v>
      </c>
      <c r="C83" s="75" t="s">
        <v>347</v>
      </c>
      <c r="D83" s="74" t="s">
        <v>1365</v>
      </c>
      <c r="E83" s="108" t="str">
        <f>HYPERLINK("https://youtu.be/Z-pIlzXkXmI","channel 1")</f>
        <v>channel 1</v>
      </c>
    </row>
    <row r="84">
      <c r="B84" s="72" t="s">
        <v>663</v>
      </c>
      <c r="C84" s="75" t="s">
        <v>87</v>
      </c>
      <c r="D84" s="74" t="s">
        <v>256</v>
      </c>
      <c r="E84" s="103" t="str">
        <f>HYPERLINK("https://youtu.be/d62eOLPVcFM","channel 2")</f>
        <v>channel 2</v>
      </c>
    </row>
    <row r="85">
      <c r="B85" s="72" t="s">
        <v>286</v>
      </c>
      <c r="C85" s="73" t="s">
        <v>93</v>
      </c>
      <c r="D85" s="74" t="s">
        <v>1365</v>
      </c>
      <c r="E85" s="108" t="str">
        <f>HYPERLINK("https://youtu.be/797A_CPYozc","channel 1")</f>
        <v>channel 1</v>
      </c>
    </row>
    <row r="86">
      <c r="B86" s="72" t="s">
        <v>663</v>
      </c>
      <c r="C86" s="73" t="s">
        <v>148</v>
      </c>
      <c r="D86" s="74" t="s">
        <v>1041</v>
      </c>
      <c r="E86" s="103" t="str">
        <f>HYPERLINK("https://youtu.be/5k6FvHD3nKU","channel 2")</f>
        <v>channel 2</v>
      </c>
    </row>
    <row r="87">
      <c r="B87" s="72" t="s">
        <v>256</v>
      </c>
      <c r="C87" s="75" t="s">
        <v>43</v>
      </c>
      <c r="D87" s="74" t="s">
        <v>1365</v>
      </c>
      <c r="E87" s="108" t="str">
        <f>HYPERLINK("https://youtu.be/RzgdyyI0weg","channel 1")</f>
        <v>channel 1</v>
      </c>
    </row>
    <row r="88">
      <c r="B88" s="72" t="s">
        <v>286</v>
      </c>
      <c r="C88" s="75" t="s">
        <v>30</v>
      </c>
      <c r="D88" s="74" t="s">
        <v>1041</v>
      </c>
      <c r="E88" s="103" t="str">
        <f>HYPERLINK("https://youtu.be/ipm36LYRMXs","channel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1521</v>
      </c>
      <c r="C3" s="70" t="s">
        <v>156</v>
      </c>
      <c r="D3" s="71" t="s">
        <v>1711</v>
      </c>
      <c r="E3" s="108" t="str">
        <f>HYPERLINK("https://youtu.be/VDhBIB9S5w8","channel 1")</f>
        <v>channel 1</v>
      </c>
    </row>
    <row r="4">
      <c r="B4" s="72" t="s">
        <v>1712</v>
      </c>
      <c r="C4" s="73" t="s">
        <v>343</v>
      </c>
      <c r="D4" s="74" t="s">
        <v>1443</v>
      </c>
      <c r="E4" s="103" t="str">
        <f>HYPERLINK("https://youtu.be/eGwGAvo3lpc","channel 2")</f>
        <v>channel 2</v>
      </c>
    </row>
    <row r="5">
      <c r="B5" s="72" t="s">
        <v>980</v>
      </c>
      <c r="C5" s="73" t="s">
        <v>309</v>
      </c>
      <c r="D5" s="74" t="s">
        <v>1521</v>
      </c>
      <c r="E5" s="108" t="str">
        <f>HYPERLINK("https://youtu.be/hsFZomAXU-A","channel 1")</f>
        <v>channel 1</v>
      </c>
    </row>
    <row r="6">
      <c r="B6" s="72" t="s">
        <v>1712</v>
      </c>
      <c r="C6" s="73" t="s">
        <v>1713</v>
      </c>
      <c r="D6" s="74" t="s">
        <v>1711</v>
      </c>
      <c r="E6" s="103" t="str">
        <f>HYPERLINK("https://youtu.be/5JuxrjPoZmU","channel 2")</f>
        <v>channel 2</v>
      </c>
    </row>
    <row r="7">
      <c r="B7" s="72" t="s">
        <v>980</v>
      </c>
      <c r="C7" s="73" t="s">
        <v>108</v>
      </c>
      <c r="D7" s="74" t="s">
        <v>1443</v>
      </c>
      <c r="E7" s="108" t="str">
        <f>HYPERLINK("https://youtu.be/eNmDz7toOkc","channel 1")</f>
        <v>channel 1</v>
      </c>
    </row>
    <row r="8">
      <c r="B8" s="72" t="s">
        <v>1712</v>
      </c>
      <c r="C8" s="73" t="s">
        <v>36</v>
      </c>
      <c r="D8" s="74" t="s">
        <v>1521</v>
      </c>
      <c r="E8" s="103" t="str">
        <f>HYPERLINK("https://youtu.be/JYXlsbwzIas","channel 2")</f>
        <v>channel 2</v>
      </c>
    </row>
    <row r="9">
      <c r="B9" s="72" t="s">
        <v>980</v>
      </c>
      <c r="C9" s="73" t="s">
        <v>193</v>
      </c>
      <c r="D9" s="74" t="s">
        <v>1711</v>
      </c>
      <c r="E9" s="108" t="str">
        <f>HYPERLINK("https://youtu.be/roIuzsvxAMM","channel 1")</f>
        <v>channel 1</v>
      </c>
    </row>
    <row r="10">
      <c r="B10" s="72" t="s">
        <v>1443</v>
      </c>
      <c r="C10" s="73" t="s">
        <v>104</v>
      </c>
      <c r="D10" s="74" t="s">
        <v>1521</v>
      </c>
      <c r="E10" s="103" t="str">
        <f>HYPERLINK("https://youtu.be/VWZgouFox4M","channel 2")</f>
        <v>channel 2</v>
      </c>
    </row>
    <row r="11">
      <c r="B11" s="72" t="s">
        <v>980</v>
      </c>
      <c r="C11" s="73" t="s">
        <v>749</v>
      </c>
      <c r="D11" s="74" t="s">
        <v>1712</v>
      </c>
      <c r="E11" s="108" t="str">
        <f>HYPERLINK("https://youtu.be/-u5pArKMMoM","channel 1")</f>
        <v>channel 1</v>
      </c>
    </row>
    <row r="12">
      <c r="B12" s="72" t="s">
        <v>1443</v>
      </c>
      <c r="C12" s="73" t="s">
        <v>911</v>
      </c>
      <c r="D12" s="74" t="s">
        <v>1711</v>
      </c>
      <c r="E12" s="103" t="str">
        <f>HYPERLINK("https://youtu.be/5tDN6ODoO7s","channel 2")</f>
        <v>channel 2</v>
      </c>
    </row>
    <row r="13">
      <c r="B13" s="72" t="s">
        <v>1711</v>
      </c>
      <c r="C13" s="73" t="s">
        <v>214</v>
      </c>
      <c r="D13" s="74" t="s">
        <v>1521</v>
      </c>
      <c r="E13" s="108" t="str">
        <f>HYPERLINK("https://youtu.be/c6QoFDIm15w","channel 1")</f>
        <v>channel 1</v>
      </c>
    </row>
    <row r="14">
      <c r="B14" s="72" t="s">
        <v>1443</v>
      </c>
      <c r="C14" s="73" t="s">
        <v>24</v>
      </c>
      <c r="D14" s="74" t="s">
        <v>1712</v>
      </c>
      <c r="E14" s="103" t="str">
        <f>HYPERLINK("https://youtu.be/LM9Jo67t_G8","channel 2")</f>
        <v>channel 2</v>
      </c>
    </row>
    <row r="15">
      <c r="B15" s="72" t="s">
        <v>1521</v>
      </c>
      <c r="C15" s="75" t="s">
        <v>278</v>
      </c>
      <c r="D15" s="74" t="s">
        <v>980</v>
      </c>
      <c r="E15" s="108" t="str">
        <f>HYPERLINK("https://youtu.be/21RR7-vMHRU","channel 1")</f>
        <v>channel 1</v>
      </c>
    </row>
    <row r="16">
      <c r="B16" s="72" t="s">
        <v>1711</v>
      </c>
      <c r="C16" s="75" t="s">
        <v>30</v>
      </c>
      <c r="D16" s="74" t="s">
        <v>1712</v>
      </c>
      <c r="E16" s="103" t="str">
        <f>HYPERLINK("https://youtu.be/2pPmLWajbiU","channel 2")</f>
        <v>channel 2</v>
      </c>
    </row>
    <row r="17">
      <c r="B17" s="72" t="s">
        <v>1443</v>
      </c>
      <c r="C17" s="75" t="s">
        <v>160</v>
      </c>
      <c r="D17" s="74" t="s">
        <v>980</v>
      </c>
      <c r="E17" s="108" t="str">
        <f>HYPERLINK("https://youtu.be/-ySYkJIXTXs","channel 1")</f>
        <v>channel 1</v>
      </c>
    </row>
    <row r="18">
      <c r="B18" s="72" t="s">
        <v>1521</v>
      </c>
      <c r="C18" s="75" t="s">
        <v>1444</v>
      </c>
      <c r="D18" s="74" t="s">
        <v>1712</v>
      </c>
      <c r="E18" s="103" t="str">
        <f>HYPERLINK("https://youtu.be/0BNQ0iVM_Vk","channel 2")</f>
        <v>channel 2</v>
      </c>
    </row>
    <row r="19">
      <c r="B19" s="72" t="s">
        <v>1711</v>
      </c>
      <c r="C19" s="73" t="s">
        <v>35</v>
      </c>
      <c r="D19" s="74" t="s">
        <v>980</v>
      </c>
      <c r="E19" s="108" t="str">
        <f>HYPERLINK("https://youtu.be/Ku5sKx3_xYI","channel 1")</f>
        <v>channel 1</v>
      </c>
    </row>
    <row r="20">
      <c r="B20" s="72" t="s">
        <v>1521</v>
      </c>
      <c r="C20" s="73" t="s">
        <v>46</v>
      </c>
      <c r="D20" s="74" t="s">
        <v>1443</v>
      </c>
      <c r="E20" s="103" t="str">
        <f>HYPERLINK("https://youtu.be/bSeFSqPwyKs","channel 2")</f>
        <v>channel 2</v>
      </c>
    </row>
    <row r="21">
      <c r="B21" s="72" t="s">
        <v>1712</v>
      </c>
      <c r="C21" s="75" t="s">
        <v>36</v>
      </c>
      <c r="D21" s="74" t="s">
        <v>980</v>
      </c>
      <c r="E21" s="108" t="str">
        <f>HYPERLINK("https://youtu.be/QE-5YM3A-Xo","channel 1")</f>
        <v>channel 1</v>
      </c>
    </row>
    <row r="22">
      <c r="B22" s="72" t="s">
        <v>1711</v>
      </c>
      <c r="C22" s="75" t="s">
        <v>40</v>
      </c>
      <c r="D22" s="74" t="s">
        <v>1443</v>
      </c>
      <c r="E22" s="103" t="str">
        <f>HYPERLINK("https://youtu.be/1ggx3j36U1I","channel 2")</f>
        <v>channel 2</v>
      </c>
    </row>
    <row r="23">
      <c r="B23" s="2" t="s">
        <v>776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1716</v>
      </c>
      <c r="C25" s="70" t="s">
        <v>77</v>
      </c>
      <c r="D25" s="71" t="s">
        <v>1717</v>
      </c>
      <c r="E25" s="108" t="str">
        <f>HYPERLINK("https://youtu.be/-8JtHlF1-OA","channel 1")</f>
        <v>channel 1</v>
      </c>
    </row>
    <row r="26">
      <c r="B26" s="72" t="s">
        <v>1718</v>
      </c>
      <c r="C26" s="73" t="s">
        <v>276</v>
      </c>
      <c r="D26" s="74" t="s">
        <v>1719</v>
      </c>
      <c r="E26" s="103" t="str">
        <f>HYPERLINK("https://youtu.be/lVIr9HcgYd8","channel 2")</f>
        <v>channel 2</v>
      </c>
    </row>
    <row r="27">
      <c r="B27" s="72" t="s">
        <v>1537</v>
      </c>
      <c r="C27" s="73" t="s">
        <v>846</v>
      </c>
      <c r="D27" s="74" t="s">
        <v>1716</v>
      </c>
      <c r="E27" s="108" t="str">
        <f>HYPERLINK("https://youtu.be/huRjy3FG8CI","channel 1")</f>
        <v>channel 1</v>
      </c>
    </row>
    <row r="28">
      <c r="B28" s="72" t="s">
        <v>1718</v>
      </c>
      <c r="C28" s="73" t="s">
        <v>148</v>
      </c>
      <c r="D28" s="74" t="s">
        <v>1717</v>
      </c>
      <c r="E28" s="103" t="str">
        <f>HYPERLINK("https://youtu.be/c_wksvgWjQQ","channel 2")</f>
        <v>channel 2</v>
      </c>
    </row>
    <row r="29">
      <c r="B29" s="72" t="s">
        <v>1537</v>
      </c>
      <c r="C29" s="73" t="s">
        <v>328</v>
      </c>
      <c r="D29" s="74" t="s">
        <v>1719</v>
      </c>
      <c r="E29" s="108" t="str">
        <f>HYPERLINK("https://youtu.be/HBmIOOaeX6U","channel 1")</f>
        <v>channel 1</v>
      </c>
    </row>
    <row r="30">
      <c r="B30" s="72" t="s">
        <v>1718</v>
      </c>
      <c r="C30" s="73" t="s">
        <v>477</v>
      </c>
      <c r="D30" s="74" t="s">
        <v>1716</v>
      </c>
      <c r="E30" s="103" t="str">
        <f>HYPERLINK("https://youtu.be/LcZW8JDxaXQ","channel 2")</f>
        <v>channel 2</v>
      </c>
    </row>
    <row r="31">
      <c r="B31" s="72" t="s">
        <v>1537</v>
      </c>
      <c r="C31" s="73" t="s">
        <v>206</v>
      </c>
      <c r="D31" s="74" t="s">
        <v>1717</v>
      </c>
      <c r="E31" s="108" t="str">
        <f>HYPERLINK("https://youtu.be/2o_ZsV1KOOs","channel 1")</f>
        <v>channel 1</v>
      </c>
    </row>
    <row r="32">
      <c r="B32" s="72" t="s">
        <v>1719</v>
      </c>
      <c r="C32" s="73" t="s">
        <v>141</v>
      </c>
      <c r="D32" s="74" t="s">
        <v>1716</v>
      </c>
      <c r="E32" s="103" t="str">
        <f>HYPERLINK("https://youtu.be/h8RuXFFIEno","channel 2")</f>
        <v>channel 2</v>
      </c>
    </row>
    <row r="33">
      <c r="B33" s="72" t="s">
        <v>1537</v>
      </c>
      <c r="C33" s="73" t="s">
        <v>283</v>
      </c>
      <c r="D33" s="74" t="s">
        <v>1718</v>
      </c>
      <c r="E33" s="108" t="str">
        <f>HYPERLINK("https://youtu.be/FBkiHm0gHJQ","channel 1")</f>
        <v>channel 1</v>
      </c>
    </row>
    <row r="34">
      <c r="B34" s="72" t="s">
        <v>1719</v>
      </c>
      <c r="C34" s="73" t="s">
        <v>109</v>
      </c>
      <c r="D34" s="74" t="s">
        <v>1717</v>
      </c>
      <c r="E34" s="103" t="str">
        <f>HYPERLINK("https://youtu.be/JLYfCPe7vvA","channel 2")</f>
        <v>channel 2</v>
      </c>
    </row>
    <row r="35">
      <c r="B35" s="72" t="s">
        <v>1717</v>
      </c>
      <c r="C35" s="73" t="s">
        <v>132</v>
      </c>
      <c r="D35" s="74" t="s">
        <v>1716</v>
      </c>
      <c r="E35" s="108" t="str">
        <f>HYPERLINK("https://youtu.be/-kd-9eLL-9o","channel 1")</f>
        <v>channel 1</v>
      </c>
    </row>
    <row r="36">
      <c r="B36" s="72" t="s">
        <v>1719</v>
      </c>
      <c r="C36" s="73" t="s">
        <v>18</v>
      </c>
      <c r="D36" s="74" t="s">
        <v>1718</v>
      </c>
      <c r="E36" s="103" t="str">
        <f>HYPERLINK("https://youtu.be/x3YmY17o-Ks","channel 2")</f>
        <v>channel 2</v>
      </c>
    </row>
    <row r="37">
      <c r="B37" s="72" t="s">
        <v>1716</v>
      </c>
      <c r="C37" s="75" t="s">
        <v>210</v>
      </c>
      <c r="D37" s="74" t="s">
        <v>1537</v>
      </c>
      <c r="E37" s="108" t="str">
        <f>HYPERLINK("https://youtu.be/dg8vBC5vBd8","channel 1")</f>
        <v>channel 1</v>
      </c>
    </row>
    <row r="38">
      <c r="B38" s="72" t="s">
        <v>1717</v>
      </c>
      <c r="C38" s="75" t="s">
        <v>1722</v>
      </c>
      <c r="D38" s="74" t="s">
        <v>1718</v>
      </c>
      <c r="E38" s="103" t="str">
        <f>HYPERLINK("https://youtu.be/BmRGaj_KB2s","channel 2")</f>
        <v>channel 2</v>
      </c>
    </row>
    <row r="39">
      <c r="B39" s="72" t="s">
        <v>1719</v>
      </c>
      <c r="C39" s="75" t="s">
        <v>27</v>
      </c>
      <c r="D39" s="74" t="s">
        <v>1537</v>
      </c>
      <c r="E39" s="108" t="str">
        <f>HYPERLINK("https://youtu.be/CmhMCoB_4JY","channel 1")</f>
        <v>channel 1</v>
      </c>
    </row>
    <row r="40">
      <c r="B40" s="72" t="s">
        <v>1716</v>
      </c>
      <c r="C40" s="75" t="s">
        <v>574</v>
      </c>
      <c r="D40" s="74" t="s">
        <v>1718</v>
      </c>
      <c r="E40" s="103" t="str">
        <f>HYPERLINK("https://youtu.be/sxw02sa8loM","channel 2")</f>
        <v>channel 2</v>
      </c>
    </row>
    <row r="41">
      <c r="B41" s="72" t="s">
        <v>1717</v>
      </c>
      <c r="C41" s="73" t="s">
        <v>237</v>
      </c>
      <c r="D41" s="74" t="s">
        <v>1537</v>
      </c>
      <c r="E41" s="108" t="str">
        <f>HYPERLINK("https://youtu.be/Oh_Ua6dzILE","channel 1")</f>
        <v>channel 1</v>
      </c>
    </row>
    <row r="42">
      <c r="B42" s="72" t="s">
        <v>1716</v>
      </c>
      <c r="C42" s="73" t="s">
        <v>109</v>
      </c>
      <c r="D42" s="74" t="s">
        <v>1719</v>
      </c>
      <c r="E42" s="103" t="str">
        <f>HYPERLINK("https://youtu.be/_csdOrMSzRw","channel 2")</f>
        <v>channel 2</v>
      </c>
    </row>
    <row r="43">
      <c r="B43" s="72" t="s">
        <v>1718</v>
      </c>
      <c r="C43" s="75" t="s">
        <v>470</v>
      </c>
      <c r="D43" s="74" t="s">
        <v>1537</v>
      </c>
      <c r="E43" s="108" t="str">
        <f>HYPERLINK("https://youtu.be/x2YiuZabtYU","channel 1")</f>
        <v>channel 1</v>
      </c>
    </row>
    <row r="44">
      <c r="B44" s="72" t="s">
        <v>1717</v>
      </c>
      <c r="C44" s="75" t="s">
        <v>113</v>
      </c>
      <c r="D44" s="74" t="s">
        <v>1719</v>
      </c>
      <c r="E44" s="103" t="str">
        <f>HYPERLINK("https://youtu.be/GwCaQoywD3s","channel 2")</f>
        <v>channel 2</v>
      </c>
    </row>
    <row r="45">
      <c r="B45" s="58" t="s">
        <v>971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474</v>
      </c>
      <c r="C47" s="70" t="s">
        <v>10</v>
      </c>
      <c r="D47" s="71" t="s">
        <v>1342</v>
      </c>
      <c r="E47" s="108" t="str">
        <f>HYPERLINK("https://youtu.be/ppcpK-qfe9M","channel 1")</f>
        <v>channel 1</v>
      </c>
    </row>
    <row r="48">
      <c r="B48" s="72" t="s">
        <v>1723</v>
      </c>
      <c r="C48" s="73" t="s">
        <v>105</v>
      </c>
      <c r="D48" s="74" t="s">
        <v>1078</v>
      </c>
      <c r="E48" s="103" t="str">
        <f>HYPERLINK("https://youtu.be/rypFYS_EnVs","channel 2")</f>
        <v>channel 2</v>
      </c>
    </row>
    <row r="49">
      <c r="B49" s="72" t="s">
        <v>582</v>
      </c>
      <c r="C49" s="73" t="s">
        <v>61</v>
      </c>
      <c r="D49" s="74" t="s">
        <v>474</v>
      </c>
      <c r="E49" s="108" t="str">
        <f>HYPERLINK("https://youtu.be/tODPH_OcUcE","channel 1")</f>
        <v>channel 1</v>
      </c>
    </row>
    <row r="50">
      <c r="B50" s="72" t="s">
        <v>1723</v>
      </c>
      <c r="C50" s="73" t="s">
        <v>163</v>
      </c>
      <c r="D50" s="74" t="s">
        <v>1342</v>
      </c>
      <c r="E50" s="103" t="str">
        <f>HYPERLINK("https://youtu.be/LHoD7m_bKOU","channel 2")</f>
        <v>channel 2</v>
      </c>
    </row>
    <row r="51">
      <c r="B51" s="72" t="s">
        <v>582</v>
      </c>
      <c r="C51" s="73" t="s">
        <v>34</v>
      </c>
      <c r="D51" s="74" t="s">
        <v>1078</v>
      </c>
      <c r="E51" s="108" t="str">
        <f>HYPERLINK("https://youtu.be/Tl8OcMl3I90","channel 1")</f>
        <v>channel 1</v>
      </c>
    </row>
    <row r="52">
      <c r="B52" s="72" t="s">
        <v>1723</v>
      </c>
      <c r="C52" s="73" t="s">
        <v>86</v>
      </c>
      <c r="D52" s="74" t="s">
        <v>474</v>
      </c>
      <c r="E52" s="103" t="str">
        <f>HYPERLINK("https://youtu.be/uNpE6NuPsyc","channel 2")</f>
        <v>channel 2</v>
      </c>
    </row>
    <row r="53">
      <c r="B53" s="72" t="s">
        <v>582</v>
      </c>
      <c r="C53" s="73" t="s">
        <v>311</v>
      </c>
      <c r="D53" s="74" t="s">
        <v>1342</v>
      </c>
      <c r="E53" s="108" t="str">
        <f>HYPERLINK("https://youtu.be/P8dWjkDxoJU","channel 1")</f>
        <v>channel 1</v>
      </c>
    </row>
    <row r="54">
      <c r="B54" s="72" t="s">
        <v>1078</v>
      </c>
      <c r="C54" s="73" t="s">
        <v>724</v>
      </c>
      <c r="D54" s="74" t="s">
        <v>474</v>
      </c>
      <c r="E54" s="103" t="str">
        <f>HYPERLINK("https://youtu.be/jDRWtQV0Na4","channel 2")</f>
        <v>channel 2</v>
      </c>
    </row>
    <row r="55">
      <c r="B55" s="72" t="s">
        <v>582</v>
      </c>
      <c r="C55" s="73" t="s">
        <v>553</v>
      </c>
      <c r="D55" s="74" t="s">
        <v>1723</v>
      </c>
      <c r="E55" s="108" t="str">
        <f>HYPERLINK("https://youtu.be/nwvvZOJbHvI","channel 1")</f>
        <v>channel 1</v>
      </c>
    </row>
    <row r="56">
      <c r="B56" s="72" t="s">
        <v>1078</v>
      </c>
      <c r="C56" s="73" t="s">
        <v>84</v>
      </c>
      <c r="D56" s="74" t="s">
        <v>1342</v>
      </c>
      <c r="E56" s="103" t="str">
        <f>HYPERLINK("https://youtu.be/vNAV42kNDSg","channel 2")</f>
        <v>channel 2</v>
      </c>
    </row>
    <row r="57">
      <c r="B57" s="72" t="s">
        <v>1342</v>
      </c>
      <c r="C57" s="73" t="s">
        <v>97</v>
      </c>
      <c r="D57" s="74" t="s">
        <v>474</v>
      </c>
      <c r="E57" s="108" t="str">
        <f>HYPERLINK("https://youtu.be/g7IEZWuxcek","channel 1")</f>
        <v>channel 1</v>
      </c>
    </row>
    <row r="58">
      <c r="B58" s="72" t="s">
        <v>1078</v>
      </c>
      <c r="C58" s="73" t="s">
        <v>34</v>
      </c>
      <c r="D58" s="74" t="s">
        <v>1723</v>
      </c>
      <c r="E58" s="103" t="str">
        <f>HYPERLINK("https://youtu.be/bTQzjt2MGmI","channel 2")</f>
        <v>channel 2</v>
      </c>
    </row>
    <row r="59">
      <c r="B59" s="72" t="s">
        <v>474</v>
      </c>
      <c r="C59" s="75" t="s">
        <v>47</v>
      </c>
      <c r="D59" s="74" t="s">
        <v>582</v>
      </c>
      <c r="E59" s="108" t="str">
        <f>HYPERLINK("https://youtu.be/Oo2dGxVHYoI","channel 1")</f>
        <v>channel 1</v>
      </c>
    </row>
    <row r="60">
      <c r="B60" s="72" t="s">
        <v>1342</v>
      </c>
      <c r="C60" s="75" t="s">
        <v>223</v>
      </c>
      <c r="D60" s="74" t="s">
        <v>1723</v>
      </c>
      <c r="E60" s="103" t="str">
        <f>HYPERLINK("https://youtu.be/0TKLIz_9TXE","channel 2")</f>
        <v>channel 2</v>
      </c>
    </row>
    <row r="61">
      <c r="B61" s="72" t="s">
        <v>1078</v>
      </c>
      <c r="C61" s="75" t="s">
        <v>106</v>
      </c>
      <c r="D61" s="74" t="s">
        <v>582</v>
      </c>
      <c r="E61" s="108" t="str">
        <f>HYPERLINK("https://youtu.be/ufGdfKWsQlk","channel 1")</f>
        <v>channel 1</v>
      </c>
    </row>
    <row r="62">
      <c r="B62" s="72" t="s">
        <v>474</v>
      </c>
      <c r="C62" s="75" t="s">
        <v>1564</v>
      </c>
      <c r="D62" s="74" t="s">
        <v>1723</v>
      </c>
      <c r="E62" s="103" t="str">
        <f>HYPERLINK("https://youtu.be/P4E9_4XZa8Y","channel 2")</f>
        <v>channel 2</v>
      </c>
    </row>
    <row r="63">
      <c r="B63" s="72" t="s">
        <v>1342</v>
      </c>
      <c r="C63" s="73" t="s">
        <v>44</v>
      </c>
      <c r="D63" s="74" t="s">
        <v>582</v>
      </c>
      <c r="E63" s="108" t="str">
        <f>HYPERLINK("https://youtu.be/p9YhO7TM3Ao","channel 1")</f>
        <v>channel 1</v>
      </c>
    </row>
    <row r="64">
      <c r="B64" s="72" t="s">
        <v>474</v>
      </c>
      <c r="C64" s="73" t="s">
        <v>478</v>
      </c>
      <c r="D64" s="74" t="s">
        <v>1078</v>
      </c>
      <c r="E64" s="103" t="str">
        <f>HYPERLINK("https://youtu.be/eIetcAEfns8","channel 2")</f>
        <v>channel 2</v>
      </c>
    </row>
    <row r="65">
      <c r="B65" s="72" t="s">
        <v>1723</v>
      </c>
      <c r="C65" s="75" t="s">
        <v>538</v>
      </c>
      <c r="D65" s="74" t="s">
        <v>582</v>
      </c>
      <c r="E65" s="108" t="str">
        <f>HYPERLINK("https://youtu.be/aCsqnlVtabA","channel 1")</f>
        <v>channel 1</v>
      </c>
    </row>
    <row r="66">
      <c r="B66" s="72" t="s">
        <v>1342</v>
      </c>
      <c r="C66" s="75" t="s">
        <v>477</v>
      </c>
      <c r="D66" s="74" t="s">
        <v>1078</v>
      </c>
      <c r="E66" s="103" t="str">
        <f>HYPERLINK("https://youtu.be/wzyQc_qX4wc","channel 2")</f>
        <v>channel 2</v>
      </c>
    </row>
    <row r="67">
      <c r="B67" s="58" t="s">
        <v>1425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1230</v>
      </c>
      <c r="C69" s="70" t="s">
        <v>458</v>
      </c>
      <c r="D69" s="71" t="s">
        <v>1724</v>
      </c>
      <c r="E69" s="108" t="str">
        <f>HYPERLINK("https://youtu.be/qbjOM4S7xCk","channel 1")</f>
        <v>channel 1</v>
      </c>
    </row>
    <row r="70">
      <c r="B70" s="72" t="s">
        <v>875</v>
      </c>
      <c r="C70" s="73" t="s">
        <v>138</v>
      </c>
      <c r="D70" s="74" t="s">
        <v>1232</v>
      </c>
      <c r="E70" s="103" t="str">
        <f>HYPERLINK("https://youtu.be/YUrwgJ8w32M","channel 2")</f>
        <v>channel 2</v>
      </c>
    </row>
    <row r="71">
      <c r="B71" s="72" t="s">
        <v>1725</v>
      </c>
      <c r="C71" s="73" t="s">
        <v>594</v>
      </c>
      <c r="D71" s="74" t="s">
        <v>1230</v>
      </c>
      <c r="E71" s="108" t="str">
        <f>HYPERLINK("https://youtu.be/SwnWsrgyeE0","channel 1")</f>
        <v>channel 1</v>
      </c>
    </row>
    <row r="72">
      <c r="B72" s="72" t="s">
        <v>875</v>
      </c>
      <c r="C72" s="73" t="s">
        <v>142</v>
      </c>
      <c r="D72" s="74" t="s">
        <v>1724</v>
      </c>
      <c r="E72" s="103" t="str">
        <f>HYPERLINK("https://youtu.be/MKBY_96pWu0","channel 2")</f>
        <v>channel 2</v>
      </c>
    </row>
    <row r="73">
      <c r="B73" s="72" t="s">
        <v>1725</v>
      </c>
      <c r="C73" s="73" t="s">
        <v>49</v>
      </c>
      <c r="D73" s="74" t="s">
        <v>1232</v>
      </c>
      <c r="E73" s="108" t="str">
        <f>HYPERLINK("https://youtu.be/dpBtv8hQ5bY","channel 1")</f>
        <v>channel 1</v>
      </c>
    </row>
    <row r="74">
      <c r="B74" s="72" t="s">
        <v>875</v>
      </c>
      <c r="C74" s="73" t="s">
        <v>124</v>
      </c>
      <c r="D74" s="74" t="s">
        <v>1230</v>
      </c>
      <c r="E74" s="103" t="str">
        <f>HYPERLINK("https://youtu.be/jCaz6OV0azE","channel 2")</f>
        <v>channel 2</v>
      </c>
    </row>
    <row r="75">
      <c r="B75" s="72" t="s">
        <v>1725</v>
      </c>
      <c r="C75" s="73" t="s">
        <v>124</v>
      </c>
      <c r="D75" s="74" t="s">
        <v>1724</v>
      </c>
      <c r="E75" s="108" t="str">
        <f>HYPERLINK("https://youtu.be/RZkswtCvazs","channel 1")</f>
        <v>channel 1</v>
      </c>
    </row>
    <row r="76">
      <c r="B76" s="72" t="s">
        <v>1232</v>
      </c>
      <c r="C76" s="73" t="s">
        <v>38</v>
      </c>
      <c r="D76" s="74" t="s">
        <v>1230</v>
      </c>
      <c r="E76" s="103" t="str">
        <f>HYPERLINK("https://youtu.be/bPlpgt931Y0","channel 2")</f>
        <v>channel 2</v>
      </c>
    </row>
    <row r="77">
      <c r="B77" s="72" t="s">
        <v>1725</v>
      </c>
      <c r="C77" s="73" t="s">
        <v>103</v>
      </c>
      <c r="D77" s="74" t="s">
        <v>875</v>
      </c>
      <c r="E77" s="108" t="str">
        <f>HYPERLINK("https://youtu.be/I5pYfq5Zx7E","channel 1")</f>
        <v>channel 1</v>
      </c>
    </row>
    <row r="78">
      <c r="B78" s="72" t="s">
        <v>1232</v>
      </c>
      <c r="C78" s="73" t="s">
        <v>168</v>
      </c>
      <c r="D78" s="74" t="s">
        <v>1724</v>
      </c>
      <c r="E78" s="103" t="str">
        <f>HYPERLINK("https://youtu.be/D4zqinKt6d8","channel 2")</f>
        <v>channel 2</v>
      </c>
    </row>
    <row r="79">
      <c r="B79" s="72" t="s">
        <v>1724</v>
      </c>
      <c r="C79" s="73" t="s">
        <v>104</v>
      </c>
      <c r="D79" s="74" t="s">
        <v>1230</v>
      </c>
      <c r="E79" s="108" t="str">
        <f>HYPERLINK("https://youtu.be/llHs06NeOTo","channel 1")</f>
        <v>channel 1</v>
      </c>
    </row>
    <row r="80">
      <c r="B80" s="72" t="s">
        <v>1232</v>
      </c>
      <c r="C80" s="73" t="s">
        <v>384</v>
      </c>
      <c r="D80" s="74" t="s">
        <v>875</v>
      </c>
      <c r="E80" s="103" t="str">
        <f>HYPERLINK("https://youtu.be/Z6Eyx2yN03o","channel 2")</f>
        <v>channel 2</v>
      </c>
    </row>
    <row r="81">
      <c r="B81" s="72" t="s">
        <v>1230</v>
      </c>
      <c r="C81" s="75" t="s">
        <v>54</v>
      </c>
      <c r="D81" s="74" t="s">
        <v>1725</v>
      </c>
      <c r="E81" s="108" t="str">
        <f>HYPERLINK("https://youtu.be/h8-Aki1cMJU","channel 1")</f>
        <v>channel 1</v>
      </c>
    </row>
    <row r="82">
      <c r="B82" s="72" t="s">
        <v>1724</v>
      </c>
      <c r="C82" s="75" t="s">
        <v>110</v>
      </c>
      <c r="D82" s="74" t="s">
        <v>875</v>
      </c>
      <c r="E82" s="103" t="str">
        <f>HYPERLINK("https://youtu.be/dytHBcJ3f7A","channel 2")</f>
        <v>channel 2</v>
      </c>
    </row>
    <row r="83">
      <c r="B83" s="72" t="s">
        <v>1232</v>
      </c>
      <c r="C83" s="75" t="s">
        <v>148</v>
      </c>
      <c r="D83" s="74" t="s">
        <v>1725</v>
      </c>
      <c r="E83" s="108" t="str">
        <f>HYPERLINK("https://youtu.be/fc9Lq2MoLwo","channel 1")</f>
        <v>channel 1</v>
      </c>
    </row>
    <row r="84">
      <c r="B84" s="72" t="s">
        <v>1230</v>
      </c>
      <c r="C84" s="75" t="s">
        <v>191</v>
      </c>
      <c r="D84" s="74" t="s">
        <v>875</v>
      </c>
      <c r="E84" s="103" t="str">
        <f>HYPERLINK("https://youtu.be/LHh4nccQqRM","channel 2")</f>
        <v>channel 2</v>
      </c>
    </row>
    <row r="85">
      <c r="B85" s="72" t="s">
        <v>1724</v>
      </c>
      <c r="C85" s="73" t="s">
        <v>106</v>
      </c>
      <c r="D85" s="74" t="s">
        <v>1725</v>
      </c>
      <c r="E85" s="108" t="str">
        <f>HYPERLINK("https://youtu.be/_6OFNeFPWwc","channel 1")</f>
        <v>channel 1</v>
      </c>
    </row>
    <row r="86">
      <c r="B86" s="72" t="s">
        <v>1230</v>
      </c>
      <c r="C86" s="73" t="s">
        <v>214</v>
      </c>
      <c r="D86" s="74" t="s">
        <v>1232</v>
      </c>
      <c r="E86" s="103" t="str">
        <f>HYPERLINK("https://youtu.be/2gRqWRsQIf8","channel 2")</f>
        <v>channel 2</v>
      </c>
    </row>
    <row r="87">
      <c r="B87" s="72" t="s">
        <v>875</v>
      </c>
      <c r="C87" s="75" t="s">
        <v>423</v>
      </c>
      <c r="D87" s="74" t="s">
        <v>1725</v>
      </c>
      <c r="E87" s="108" t="str">
        <f>HYPERLINK("https://youtu.be/MejN0X7mwqU","channel 1")</f>
        <v>channel 1</v>
      </c>
    </row>
    <row r="88">
      <c r="B88" s="72" t="s">
        <v>1724</v>
      </c>
      <c r="C88" s="75" t="s">
        <v>104</v>
      </c>
      <c r="D88" s="74" t="s">
        <v>1232</v>
      </c>
      <c r="E88" s="103" t="str">
        <f>HYPERLINK("https://youtu.be/E0pBrAaR2RY","channel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1726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1579</v>
      </c>
      <c r="C3" s="70" t="s">
        <v>135</v>
      </c>
      <c r="D3" s="71" t="s">
        <v>1410</v>
      </c>
      <c r="E3" s="13" t="str">
        <f>HYPERLINK("https://youtu.be/9XQGtMMeKn8","channel 1")</f>
        <v>channel 1</v>
      </c>
    </row>
    <row r="4">
      <c r="B4" s="72" t="s">
        <v>558</v>
      </c>
      <c r="C4" s="73" t="s">
        <v>232</v>
      </c>
      <c r="D4" s="74" t="s">
        <v>1727</v>
      </c>
      <c r="E4" s="66" t="str">
        <f>HYPERLINK("https://youtu.be/k1Y64ofy744","channel 2")</f>
        <v>channel 2</v>
      </c>
    </row>
    <row r="5">
      <c r="B5" s="72" t="s">
        <v>1728</v>
      </c>
      <c r="C5" s="73" t="s">
        <v>194</v>
      </c>
      <c r="D5" s="74" t="s">
        <v>1579</v>
      </c>
      <c r="E5" s="13" t="str">
        <f>HYPERLINK("https://youtu.be/3UPSWVKDq8k","channel 1")</f>
        <v>channel 1</v>
      </c>
    </row>
    <row r="6">
      <c r="B6" s="72" t="s">
        <v>558</v>
      </c>
      <c r="C6" s="73" t="s">
        <v>104</v>
      </c>
      <c r="D6" s="74" t="s">
        <v>1410</v>
      </c>
      <c r="E6" s="66" t="str">
        <f>HYPERLINK("https://youtu.be/HCY7VUpRC1k","channel 2")</f>
        <v>channel 2</v>
      </c>
    </row>
    <row r="7">
      <c r="B7" s="72" t="s">
        <v>1728</v>
      </c>
      <c r="C7" s="73" t="s">
        <v>46</v>
      </c>
      <c r="D7" s="74" t="s">
        <v>1727</v>
      </c>
      <c r="E7" s="13" t="str">
        <f>HYPERLINK("https://youtu.be/A-uNyUWZkms","channel 1")</f>
        <v>channel 1</v>
      </c>
    </row>
    <row r="8">
      <c r="B8" s="72" t="s">
        <v>558</v>
      </c>
      <c r="C8" s="73" t="s">
        <v>194</v>
      </c>
      <c r="D8" s="74" t="s">
        <v>1579</v>
      </c>
      <c r="E8" s="66" t="str">
        <f>HYPERLINK("https://youtu.be/tBhpY_9gDR4","channel 2")</f>
        <v>channel 2</v>
      </c>
    </row>
    <row r="9">
      <c r="B9" s="72" t="s">
        <v>1728</v>
      </c>
      <c r="C9" s="73" t="s">
        <v>87</v>
      </c>
      <c r="D9" s="74" t="s">
        <v>1410</v>
      </c>
      <c r="E9" s="13" t="str">
        <f>HYPERLINK("https://youtu.be/yVDXYUSaVVs","channel 1")</f>
        <v>channel 1</v>
      </c>
    </row>
    <row r="10">
      <c r="B10" s="72" t="s">
        <v>1727</v>
      </c>
      <c r="C10" s="73" t="s">
        <v>214</v>
      </c>
      <c r="D10" s="74" t="s">
        <v>1579</v>
      </c>
      <c r="E10" s="66" t="str">
        <f>HYPERLINK("https://youtu.be/DGWAI7pNq1M","channel 2")</f>
        <v>channel 2</v>
      </c>
    </row>
    <row r="11">
      <c r="B11" s="72" t="s">
        <v>1728</v>
      </c>
      <c r="C11" s="73" t="s">
        <v>1729</v>
      </c>
      <c r="D11" s="74" t="s">
        <v>558</v>
      </c>
      <c r="E11" s="13" t="str">
        <f>HYPERLINK("https://youtu.be/bgS6GcbwCLs","channel 1")</f>
        <v>channel 1</v>
      </c>
    </row>
    <row r="12">
      <c r="B12" s="72" t="s">
        <v>1727</v>
      </c>
      <c r="C12" s="73" t="s">
        <v>32</v>
      </c>
      <c r="D12" s="74" t="s">
        <v>1410</v>
      </c>
      <c r="E12" s="66" t="str">
        <f>HYPERLINK("https://youtu.be/LAs5xAnkPkQ","channel 2")</f>
        <v>channel 2</v>
      </c>
    </row>
    <row r="13">
      <c r="B13" s="72" t="s">
        <v>1410</v>
      </c>
      <c r="C13" s="73" t="s">
        <v>141</v>
      </c>
      <c r="D13" s="74" t="s">
        <v>1579</v>
      </c>
      <c r="E13" s="13" t="str">
        <f>HYPERLINK("https://youtu.be/5kpmzaAfrm8","channel 1")</f>
        <v>channel 1</v>
      </c>
    </row>
    <row r="14">
      <c r="B14" s="72" t="s">
        <v>1727</v>
      </c>
      <c r="C14" s="73" t="s">
        <v>135</v>
      </c>
      <c r="D14" s="74" t="s">
        <v>558</v>
      </c>
      <c r="E14" s="66" t="str">
        <f>HYPERLINK("https://youtu.be/0dHIULKl8rs","channel 2")</f>
        <v>channel 2</v>
      </c>
    </row>
    <row r="15">
      <c r="B15" s="72" t="s">
        <v>1579</v>
      </c>
      <c r="C15" s="75" t="s">
        <v>577</v>
      </c>
      <c r="D15" s="74" t="s">
        <v>1728</v>
      </c>
      <c r="E15" s="13" t="str">
        <f>HYPERLINK("https://youtu.be/tckKnIMqOt4","channel 1")</f>
        <v>channel 1</v>
      </c>
    </row>
    <row r="16">
      <c r="B16" s="72" t="s">
        <v>1410</v>
      </c>
      <c r="C16" s="75" t="s">
        <v>522</v>
      </c>
      <c r="D16" s="74" t="s">
        <v>558</v>
      </c>
      <c r="E16" s="66" t="str">
        <f>HYPERLINK("https://youtu.be/ROH_Ncw9uyE","channel 2")</f>
        <v>channel 2</v>
      </c>
    </row>
    <row r="17">
      <c r="B17" s="72" t="s">
        <v>1727</v>
      </c>
      <c r="C17" s="75" t="s">
        <v>111</v>
      </c>
      <c r="D17" s="74" t="s">
        <v>1728</v>
      </c>
      <c r="E17" s="13" t="str">
        <f>HYPERLINK("https://youtu.be/iMGGWTOC19I","channel 1")</f>
        <v>channel 1</v>
      </c>
    </row>
    <row r="18">
      <c r="B18" s="72" t="s">
        <v>1579</v>
      </c>
      <c r="C18" s="75" t="s">
        <v>105</v>
      </c>
      <c r="D18" s="74" t="s">
        <v>558</v>
      </c>
      <c r="E18" s="66" t="str">
        <f>HYPERLINK("https://youtu.be/TqI8rtJAH3Y","channel 2")</f>
        <v>channel 2</v>
      </c>
    </row>
    <row r="19">
      <c r="B19" s="72" t="s">
        <v>1410</v>
      </c>
      <c r="C19" s="73" t="s">
        <v>144</v>
      </c>
      <c r="D19" s="74" t="s">
        <v>1728</v>
      </c>
      <c r="E19" s="13" t="str">
        <f>HYPERLINK("https://youtu.be/b5TLntUk8zk","channel 1")</f>
        <v>channel 1</v>
      </c>
    </row>
    <row r="20">
      <c r="B20" s="72" t="s">
        <v>1579</v>
      </c>
      <c r="C20" s="73" t="s">
        <v>1684</v>
      </c>
      <c r="D20" s="74" t="s">
        <v>1727</v>
      </c>
      <c r="E20" s="66" t="str">
        <f>HYPERLINK("https://youtu.be/fEdwSPpdTiQ","channel 2")</f>
        <v>channel 2</v>
      </c>
    </row>
    <row r="21">
      <c r="B21" s="72" t="s">
        <v>558</v>
      </c>
      <c r="C21" s="75" t="s">
        <v>135</v>
      </c>
      <c r="D21" s="74" t="s">
        <v>1728</v>
      </c>
      <c r="E21" s="13" t="str">
        <f>HYPERLINK("https://youtu.be/TdaPGt9MeHE","channel 1")</f>
        <v>channel 1</v>
      </c>
    </row>
    <row r="22">
      <c r="B22" s="72" t="s">
        <v>1410</v>
      </c>
      <c r="C22" s="75" t="s">
        <v>385</v>
      </c>
      <c r="D22" s="74" t="s">
        <v>1727</v>
      </c>
      <c r="E22" s="66" t="str">
        <f>HYPERLINK("https://youtu.be/8qvzArI8_bg","channel 2")</f>
        <v>channel 2</v>
      </c>
    </row>
    <row r="23">
      <c r="B23" s="2" t="s">
        <v>64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1249</v>
      </c>
      <c r="C25" s="70" t="s">
        <v>37</v>
      </c>
      <c r="D25" s="71" t="s">
        <v>1730</v>
      </c>
      <c r="E25" s="13" t="str">
        <f>HYPERLINK("https://youtu.be/1CewA2zJqfs","channel 1")</f>
        <v>channel 1</v>
      </c>
    </row>
    <row r="26">
      <c r="B26" s="72" t="s">
        <v>539</v>
      </c>
      <c r="C26" s="73" t="s">
        <v>104</v>
      </c>
      <c r="D26" s="74" t="s">
        <v>1731</v>
      </c>
      <c r="E26" s="66" t="str">
        <f>HYPERLINK("https://youtu.be/4_vVckDIG5I","channel 2")</f>
        <v>channel 2</v>
      </c>
    </row>
    <row r="27">
      <c r="B27" s="72" t="s">
        <v>1732</v>
      </c>
      <c r="C27" s="73" t="s">
        <v>213</v>
      </c>
      <c r="D27" s="74" t="s">
        <v>1249</v>
      </c>
      <c r="E27" s="13" t="str">
        <f>HYPERLINK("https://youtu.be/7frG7x_KjO8","channel 1")</f>
        <v>channel 1</v>
      </c>
    </row>
    <row r="28">
      <c r="B28" s="72" t="s">
        <v>539</v>
      </c>
      <c r="C28" s="73" t="s">
        <v>106</v>
      </c>
      <c r="D28" s="74" t="s">
        <v>1730</v>
      </c>
      <c r="E28" s="66" t="str">
        <f>HYPERLINK("https://youtu.be/6gvfO540Zl4","channel 2")</f>
        <v>channel 2</v>
      </c>
    </row>
    <row r="29">
      <c r="B29" s="72" t="s">
        <v>1732</v>
      </c>
      <c r="C29" s="73" t="s">
        <v>322</v>
      </c>
      <c r="D29" s="74" t="s">
        <v>1731</v>
      </c>
      <c r="E29" s="13" t="str">
        <f>HYPERLINK("https://youtu.be/U0IwfEFmXUU","channel 1")</f>
        <v>channel 1</v>
      </c>
    </row>
    <row r="30">
      <c r="B30" s="72" t="s">
        <v>539</v>
      </c>
      <c r="C30" s="73" t="s">
        <v>331</v>
      </c>
      <c r="D30" s="74" t="s">
        <v>1249</v>
      </c>
      <c r="E30" s="66" t="str">
        <f>HYPERLINK("https://youtu.be/FVKtd35HI8sъ","channel 2")</f>
        <v>channel 2</v>
      </c>
    </row>
    <row r="31">
      <c r="B31" s="72" t="s">
        <v>1732</v>
      </c>
      <c r="C31" s="73" t="s">
        <v>135</v>
      </c>
      <c r="D31" s="74" t="s">
        <v>1730</v>
      </c>
      <c r="E31" s="13" t="str">
        <f>HYPERLINK("https://youtu.be/Ne2UYQQZuvc","channel 1")</f>
        <v>channel 1</v>
      </c>
    </row>
    <row r="32">
      <c r="B32" s="72" t="s">
        <v>1731</v>
      </c>
      <c r="C32" s="73" t="s">
        <v>297</v>
      </c>
      <c r="D32" s="74" t="s">
        <v>1249</v>
      </c>
      <c r="E32" s="66" t="str">
        <f>HYPERLINK("https://youtu.be/HuITQQvAups","channel 2")</f>
        <v>channel 2</v>
      </c>
    </row>
    <row r="33">
      <c r="B33" s="72" t="s">
        <v>1732</v>
      </c>
      <c r="C33" s="73" t="s">
        <v>358</v>
      </c>
      <c r="D33" s="74" t="s">
        <v>539</v>
      </c>
      <c r="E33" s="13" t="str">
        <f>HYPERLINK("https://youtu.be/fEM54xH1jo4","channel 1")</f>
        <v>channel 1</v>
      </c>
    </row>
    <row r="34">
      <c r="B34" s="72" t="s">
        <v>1731</v>
      </c>
      <c r="C34" s="73" t="s">
        <v>37</v>
      </c>
      <c r="D34" s="74" t="s">
        <v>1730</v>
      </c>
      <c r="E34" s="66" t="str">
        <f>HYPERLINK("https://youtu.be/w_Rxer5JLr0","channel 2")</f>
        <v>channel 2</v>
      </c>
    </row>
    <row r="35">
      <c r="B35" s="72" t="s">
        <v>1730</v>
      </c>
      <c r="C35" s="73" t="s">
        <v>322</v>
      </c>
      <c r="D35" s="74" t="s">
        <v>1249</v>
      </c>
      <c r="E35" s="13" t="str">
        <f>HYPERLINK("https://youtu.be/QQ5CdpA62Vo","channel 1")</f>
        <v>channel 1</v>
      </c>
    </row>
    <row r="36">
      <c r="B36" s="72" t="s">
        <v>1731</v>
      </c>
      <c r="C36" s="73" t="s">
        <v>108</v>
      </c>
      <c r="D36" s="74" t="s">
        <v>539</v>
      </c>
      <c r="E36" s="66" t="str">
        <f>HYPERLINK("https://youtu.be/F_U2n7qVIC4","channel 2")</f>
        <v>channel 2</v>
      </c>
    </row>
    <row r="37">
      <c r="B37" s="72" t="s">
        <v>1249</v>
      </c>
      <c r="C37" s="75" t="s">
        <v>34</v>
      </c>
      <c r="D37" s="74" t="s">
        <v>1732</v>
      </c>
      <c r="E37" s="13" t="str">
        <f>HYPERLINK("https://youtu.be/GIlVMhnCGLQ","channel 1")</f>
        <v>channel 1</v>
      </c>
    </row>
    <row r="38">
      <c r="B38" s="72" t="s">
        <v>1730</v>
      </c>
      <c r="C38" s="75" t="s">
        <v>18</v>
      </c>
      <c r="D38" s="74" t="s">
        <v>539</v>
      </c>
      <c r="E38" s="66" t="str">
        <f>HYPERLINK("https://youtu.be/R3gmSPvqiVM","channel 2")</f>
        <v>channel 2</v>
      </c>
    </row>
    <row r="39">
      <c r="B39" s="72" t="s">
        <v>1731</v>
      </c>
      <c r="C39" s="75" t="s">
        <v>85</v>
      </c>
      <c r="D39" s="74" t="s">
        <v>1732</v>
      </c>
      <c r="E39" s="13" t="str">
        <f>HYPERLINK("https://youtu.be/qi_nTw5LFzA","channel 1")</f>
        <v>channel 1</v>
      </c>
    </row>
    <row r="40">
      <c r="B40" s="72" t="s">
        <v>1249</v>
      </c>
      <c r="C40" s="75" t="s">
        <v>143</v>
      </c>
      <c r="D40" s="74" t="s">
        <v>539</v>
      </c>
      <c r="E40" s="66" t="str">
        <f>HYPERLINK("https://youtu.be/ixsCmawZwAA","channel 2")</f>
        <v>channel 2</v>
      </c>
    </row>
    <row r="41">
      <c r="B41" s="72" t="s">
        <v>1730</v>
      </c>
      <c r="C41" s="73" t="s">
        <v>61</v>
      </c>
      <c r="D41" s="74" t="s">
        <v>1732</v>
      </c>
      <c r="E41" s="13" t="str">
        <f>HYPERLINK("https://youtu.be/1je_bgo2VZA","channel 1")</f>
        <v>channel 1</v>
      </c>
    </row>
    <row r="42">
      <c r="B42" s="72" t="s">
        <v>1249</v>
      </c>
      <c r="C42" s="73" t="s">
        <v>46</v>
      </c>
      <c r="D42" s="74" t="s">
        <v>1731</v>
      </c>
      <c r="E42" s="66" t="str">
        <f>HYPERLINK("https://youtu.be/EZOmZ69_lBk","channel 2")</f>
        <v>channel 2</v>
      </c>
    </row>
    <row r="43">
      <c r="B43" s="72" t="s">
        <v>539</v>
      </c>
      <c r="C43" s="75" t="s">
        <v>99</v>
      </c>
      <c r="D43" s="74" t="s">
        <v>1732</v>
      </c>
      <c r="E43" s="13" t="str">
        <f>HYPERLINK("https://youtu.be/7J2Q6oUZX0s","channel 1")</f>
        <v>channel 1</v>
      </c>
    </row>
    <row r="44">
      <c r="B44" s="72" t="s">
        <v>1730</v>
      </c>
      <c r="C44" s="75" t="s">
        <v>34</v>
      </c>
      <c r="D44" s="74" t="s">
        <v>1731</v>
      </c>
      <c r="E44" s="66" t="str">
        <f>HYPERLINK("https://youtu.be/S3YifkC6yg4","channel 2")</f>
        <v>channel 2</v>
      </c>
    </row>
    <row r="45">
      <c r="B45" s="58" t="s">
        <v>700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72" t="s">
        <v>1401</v>
      </c>
      <c r="C47" s="73" t="s">
        <v>146</v>
      </c>
      <c r="D47" s="74" t="s">
        <v>641</v>
      </c>
      <c r="E47" s="13" t="str">
        <f>HYPERLINK("https://youtu.be/UB4zFFmQhKk","channel 1")</f>
        <v>channel 1</v>
      </c>
    </row>
    <row r="48">
      <c r="B48" s="72" t="s">
        <v>970</v>
      </c>
      <c r="C48" s="73" t="s">
        <v>1733</v>
      </c>
      <c r="D48" s="74" t="s">
        <v>402</v>
      </c>
      <c r="E48" s="66" t="str">
        <f>HYPERLINK("https://youtu.be/7iDczxKfxpI","channel 2")</f>
        <v>channel 2</v>
      </c>
    </row>
    <row r="49">
      <c r="B49" s="72" t="s">
        <v>566</v>
      </c>
      <c r="C49" s="73" t="s">
        <v>104</v>
      </c>
      <c r="D49" s="74" t="s">
        <v>1401</v>
      </c>
      <c r="E49" s="13" t="str">
        <f>HYPERLINK("https://youtu.be/4QtwqsM4vyA","channel 1")</f>
        <v>channel 1</v>
      </c>
    </row>
    <row r="50">
      <c r="B50" s="72" t="s">
        <v>970</v>
      </c>
      <c r="C50" s="73" t="s">
        <v>106</v>
      </c>
      <c r="D50" s="74" t="s">
        <v>641</v>
      </c>
      <c r="E50" s="66" t="str">
        <f>HYPERLINK("https://youtu.be/-xHRDtOzm1M","channel 2")</f>
        <v>channel 2</v>
      </c>
    </row>
    <row r="51">
      <c r="B51" s="72" t="s">
        <v>566</v>
      </c>
      <c r="C51" s="73" t="s">
        <v>37</v>
      </c>
      <c r="D51" s="74" t="s">
        <v>402</v>
      </c>
      <c r="E51" s="13" t="str">
        <f>HYPERLINK("https://youtu.be/7llH1gZGc90","channel 1")</f>
        <v>channel 1</v>
      </c>
    </row>
    <row r="52">
      <c r="B52" s="72" t="s">
        <v>970</v>
      </c>
      <c r="C52" s="73" t="s">
        <v>156</v>
      </c>
      <c r="D52" s="74" t="s">
        <v>1401</v>
      </c>
      <c r="E52" s="66" t="str">
        <f>HYPERLINK("https://youtu.be/m05JJGNfvQg","channel 2")</f>
        <v>channel 2</v>
      </c>
    </row>
    <row r="53">
      <c r="B53" s="10" t="s">
        <v>566</v>
      </c>
      <c r="C53" s="70" t="s">
        <v>596</v>
      </c>
      <c r="D53" s="71" t="s">
        <v>641</v>
      </c>
      <c r="E53" s="13" t="str">
        <f>HYPERLINK("https://youtu.be/VWTc8LZh1hA","channel 1")</f>
        <v>channel 1</v>
      </c>
    </row>
    <row r="54">
      <c r="B54" s="72" t="s">
        <v>402</v>
      </c>
      <c r="C54" s="73" t="s">
        <v>160</v>
      </c>
      <c r="D54" s="74" t="s">
        <v>1401</v>
      </c>
      <c r="E54" s="66" t="str">
        <f>HYPERLINK("https://youtu.be/PVmAUoOZh9k","channel 2")</f>
        <v>channel 2</v>
      </c>
    </row>
    <row r="55">
      <c r="B55" s="72" t="s">
        <v>566</v>
      </c>
      <c r="C55" s="73" t="s">
        <v>108</v>
      </c>
      <c r="D55" s="74" t="s">
        <v>970</v>
      </c>
      <c r="E55" s="13" t="str">
        <f>HYPERLINK("https://youtu.be/v5injL4Pg6Q","channel 1")</f>
        <v>channel 1</v>
      </c>
    </row>
    <row r="56">
      <c r="B56" s="72" t="s">
        <v>402</v>
      </c>
      <c r="C56" s="73" t="s">
        <v>44</v>
      </c>
      <c r="D56" s="74" t="s">
        <v>641</v>
      </c>
      <c r="E56" s="66" t="str">
        <f>HYPERLINK("https://youtu.be/k0EOkSUNhW4","channel 2")</f>
        <v>channel 2</v>
      </c>
    </row>
    <row r="57">
      <c r="B57" s="72" t="s">
        <v>641</v>
      </c>
      <c r="C57" s="73" t="s">
        <v>477</v>
      </c>
      <c r="D57" s="74" t="s">
        <v>1401</v>
      </c>
      <c r="E57" s="13" t="str">
        <f>HYPERLINK("https://youtu.be/l_upJZHn_ek","channel 1")</f>
        <v>channel 1</v>
      </c>
    </row>
    <row r="58">
      <c r="B58" s="72" t="s">
        <v>402</v>
      </c>
      <c r="C58" s="73" t="s">
        <v>44</v>
      </c>
      <c r="D58" s="74" t="s">
        <v>970</v>
      </c>
      <c r="E58" s="66" t="str">
        <f>HYPERLINK("https://youtu.be/0IcDjHAxZ-k","channel 2")</f>
        <v>channel 2</v>
      </c>
    </row>
    <row r="59">
      <c r="B59" s="72" t="s">
        <v>1401</v>
      </c>
      <c r="C59" s="75" t="s">
        <v>495</v>
      </c>
      <c r="D59" s="74" t="s">
        <v>566</v>
      </c>
      <c r="E59" s="13" t="str">
        <f>HYPERLINK("https://youtu.be/xcaF_pLT9I0","channel 1")</f>
        <v>channel 1</v>
      </c>
    </row>
    <row r="60">
      <c r="B60" s="72" t="s">
        <v>641</v>
      </c>
      <c r="C60" s="75" t="s">
        <v>214</v>
      </c>
      <c r="D60" s="74" t="s">
        <v>970</v>
      </c>
      <c r="E60" s="66" t="str">
        <f>HYPERLINK("https://youtu.be/MxdIo6wGY9U","channel 2")</f>
        <v>channel 2</v>
      </c>
    </row>
    <row r="61">
      <c r="B61" s="72" t="s">
        <v>402</v>
      </c>
      <c r="C61" s="75" t="s">
        <v>749</v>
      </c>
      <c r="D61" s="74" t="s">
        <v>566</v>
      </c>
      <c r="E61" s="13" t="str">
        <f>HYPERLINK("https://youtu.be/RmtlIgYBn0s","channel 1")</f>
        <v>channel 1</v>
      </c>
    </row>
    <row r="62">
      <c r="B62" s="72" t="s">
        <v>1401</v>
      </c>
      <c r="C62" s="75" t="s">
        <v>538</v>
      </c>
      <c r="D62" s="74" t="s">
        <v>970</v>
      </c>
      <c r="E62" s="66" t="str">
        <f>HYPERLINK("https://youtu.be/AYw7u3vEMDc","channel 2")</f>
        <v>channel 2</v>
      </c>
    </row>
    <row r="63">
      <c r="B63" s="72" t="s">
        <v>641</v>
      </c>
      <c r="C63" s="73" t="s">
        <v>278</v>
      </c>
      <c r="D63" s="74" t="s">
        <v>566</v>
      </c>
      <c r="E63" s="13" t="str">
        <f>HYPERLINK("https://youtu.be/a74ZuXeySIM","channel 1")</f>
        <v>channel 1</v>
      </c>
    </row>
    <row r="64">
      <c r="B64" s="72" t="s">
        <v>1401</v>
      </c>
      <c r="C64" s="73" t="s">
        <v>97</v>
      </c>
      <c r="D64" s="74" t="s">
        <v>402</v>
      </c>
      <c r="E64" s="66" t="str">
        <f>HYPERLINK("https://youtu.be/II86ys8Hqso","channel 2")</f>
        <v>channel 2</v>
      </c>
    </row>
    <row r="65">
      <c r="B65" s="72" t="s">
        <v>970</v>
      </c>
      <c r="C65" s="75" t="s">
        <v>1734</v>
      </c>
      <c r="D65" s="74" t="s">
        <v>566</v>
      </c>
      <c r="E65" s="13" t="str">
        <f>HYPERLINK("https://youtu.be/5V4acDvrjfs","channel 1")</f>
        <v>channel 1</v>
      </c>
    </row>
    <row r="66">
      <c r="B66" s="72" t="s">
        <v>641</v>
      </c>
      <c r="C66" s="75" t="s">
        <v>239</v>
      </c>
      <c r="D66" s="74" t="s">
        <v>402</v>
      </c>
      <c r="E66" s="66" t="str">
        <f>HYPERLINK("https://youtu.be/RbeJmW4SxJI","channel 2")</f>
        <v>channel 2</v>
      </c>
    </row>
    <row r="67">
      <c r="B67" s="58" t="s">
        <v>1150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1051</v>
      </c>
      <c r="C69" s="70" t="s">
        <v>569</v>
      </c>
      <c r="D69" s="71" t="s">
        <v>1363</v>
      </c>
      <c r="E69" s="13" t="str">
        <f>HYPERLINK("https://youtu.be/J8KZVZoxs18","channel 1")</f>
        <v>channel 1</v>
      </c>
    </row>
    <row r="70">
      <c r="B70" s="72" t="s">
        <v>739</v>
      </c>
      <c r="C70" s="73" t="s">
        <v>89</v>
      </c>
      <c r="D70" s="74" t="s">
        <v>1028</v>
      </c>
      <c r="E70" s="66" t="str">
        <f>HYPERLINK("https://youtu.be/cVQ2a3uCWPc","channel 2")</f>
        <v>channel 2</v>
      </c>
    </row>
    <row r="71">
      <c r="B71" s="72" t="s">
        <v>382</v>
      </c>
      <c r="C71" s="73" t="s">
        <v>37</v>
      </c>
      <c r="D71" s="74" t="s">
        <v>1051</v>
      </c>
      <c r="E71" s="13" t="str">
        <f>HYPERLINK("https://youtu.be/nh1KhXdoF3c","channel 1")</f>
        <v>channel 1</v>
      </c>
    </row>
    <row r="72">
      <c r="B72" s="72" t="s">
        <v>739</v>
      </c>
      <c r="C72" s="73" t="s">
        <v>1332</v>
      </c>
      <c r="D72" s="74" t="s">
        <v>1363</v>
      </c>
      <c r="E72" s="66" t="str">
        <f>HYPERLINK("https://youtu.be/X_2_V1ZVUK4","channel 2")</f>
        <v>channel 2</v>
      </c>
    </row>
    <row r="73">
      <c r="B73" s="72" t="s">
        <v>382</v>
      </c>
      <c r="C73" s="73" t="s">
        <v>308</v>
      </c>
      <c r="D73" s="74" t="s">
        <v>1028</v>
      </c>
      <c r="E73" s="13" t="str">
        <f>HYPERLINK("https://youtu.be/lfkU5GCmnfI","channel 1")</f>
        <v>channel 1</v>
      </c>
    </row>
    <row r="74">
      <c r="B74" s="72" t="s">
        <v>739</v>
      </c>
      <c r="C74" s="38" t="s">
        <v>124</v>
      </c>
      <c r="D74" s="74" t="s">
        <v>1051</v>
      </c>
      <c r="E74" s="66" t="str">
        <f>HYPERLINK("https://youtu.be/-j5OyRtq7Bs","channel 2")</f>
        <v>channel 2</v>
      </c>
    </row>
    <row r="75">
      <c r="B75" s="72" t="s">
        <v>382</v>
      </c>
      <c r="C75" s="12" t="s">
        <v>40</v>
      </c>
      <c r="D75" s="74" t="s">
        <v>1363</v>
      </c>
      <c r="E75" s="13" t="str">
        <f>HYPERLINK("https://youtu.be/kdXN3r1P-Dk","channel 1")</f>
        <v>channel 1</v>
      </c>
    </row>
    <row r="76">
      <c r="B76" s="72" t="s">
        <v>1028</v>
      </c>
      <c r="C76" s="73" t="s">
        <v>145</v>
      </c>
      <c r="D76" s="74" t="s">
        <v>1051</v>
      </c>
      <c r="E76" s="66" t="str">
        <f>HYPERLINK("https://youtu.be/XC8dLOrEDto","channel 2")</f>
        <v>channel 2</v>
      </c>
    </row>
    <row r="77">
      <c r="B77" s="72" t="s">
        <v>382</v>
      </c>
      <c r="C77" s="73" t="s">
        <v>77</v>
      </c>
      <c r="D77" s="74" t="s">
        <v>739</v>
      </c>
      <c r="E77" s="13" t="str">
        <f>HYPERLINK("https://youtu.be/RUlYyDuwFno","channel 1")</f>
        <v>channel 1</v>
      </c>
    </row>
    <row r="78">
      <c r="B78" s="72" t="s">
        <v>1028</v>
      </c>
      <c r="C78" s="73" t="s">
        <v>1671</v>
      </c>
      <c r="D78" s="74" t="s">
        <v>1363</v>
      </c>
      <c r="E78" s="66" t="str">
        <f>HYPERLINK("https://youtu.be/P7boD8rQsmk","channel 2")</f>
        <v>channel 2</v>
      </c>
    </row>
    <row r="79">
      <c r="B79" s="72" t="s">
        <v>1363</v>
      </c>
      <c r="C79" s="73" t="s">
        <v>338</v>
      </c>
      <c r="D79" s="74" t="s">
        <v>1051</v>
      </c>
      <c r="E79" s="13" t="str">
        <f>HYPERLINK("https://youtu.be/yzqBPXmoGHU","channel 1")</f>
        <v>channel 1</v>
      </c>
    </row>
    <row r="80">
      <c r="B80" s="72" t="s">
        <v>1028</v>
      </c>
      <c r="C80" s="73" t="s">
        <v>194</v>
      </c>
      <c r="D80" s="74" t="s">
        <v>739</v>
      </c>
      <c r="E80" s="66" t="str">
        <f>HYPERLINK("https://youtu.be/zvn5-JV0Nts","channel 2")</f>
        <v>channel 2</v>
      </c>
    </row>
    <row r="81">
      <c r="B81" s="72" t="s">
        <v>1051</v>
      </c>
      <c r="C81" s="75" t="s">
        <v>99</v>
      </c>
      <c r="D81" s="74" t="s">
        <v>382</v>
      </c>
      <c r="E81" s="13" t="str">
        <f>HYPERLINK("https://youtu.be/i2BtUG4HRW4","channel 1")</f>
        <v>channel 1</v>
      </c>
    </row>
    <row r="82">
      <c r="B82" s="72" t="s">
        <v>1363</v>
      </c>
      <c r="C82" s="75" t="s">
        <v>395</v>
      </c>
      <c r="D82" s="74" t="s">
        <v>739</v>
      </c>
      <c r="E82" s="66" t="str">
        <f>HYPERLINK("https://youtu.be/B54BI7pNScA","channel 2")</f>
        <v>channel 2</v>
      </c>
    </row>
    <row r="83">
      <c r="B83" s="72" t="s">
        <v>1028</v>
      </c>
      <c r="C83" s="75" t="s">
        <v>99</v>
      </c>
      <c r="D83" s="74" t="s">
        <v>382</v>
      </c>
      <c r="E83" s="13" t="str">
        <f>HYPERLINK("https://youtu.be/S_L6n7xNchk","channel 1")</f>
        <v>channel 1</v>
      </c>
    </row>
    <row r="84">
      <c r="B84" s="72" t="s">
        <v>1051</v>
      </c>
      <c r="C84" s="75" t="s">
        <v>97</v>
      </c>
      <c r="D84" s="74" t="s">
        <v>739</v>
      </c>
      <c r="E84" s="66" t="str">
        <f>HYPERLINK("https://youtu.be/_2lIVijxnyI","channel 2")</f>
        <v>channel 2</v>
      </c>
    </row>
    <row r="85">
      <c r="B85" s="72" t="s">
        <v>1363</v>
      </c>
      <c r="C85" s="73" t="s">
        <v>1735</v>
      </c>
      <c r="D85" s="74" t="s">
        <v>382</v>
      </c>
      <c r="E85" s="13" t="str">
        <f>HYPERLINK("https://youtu.be/JC36g6EDjnM","channel 1")</f>
        <v>channel 1</v>
      </c>
    </row>
    <row r="86">
      <c r="B86" s="72" t="s">
        <v>1051</v>
      </c>
      <c r="C86" s="73" t="s">
        <v>144</v>
      </c>
      <c r="D86" s="74" t="s">
        <v>1028</v>
      </c>
      <c r="E86" s="66" t="str">
        <f>HYPERLINK("https://youtu.be/tjytw6dOB0g","channel 2")</f>
        <v>channel 2</v>
      </c>
    </row>
    <row r="87">
      <c r="B87" s="72" t="s">
        <v>739</v>
      </c>
      <c r="C87" s="75" t="s">
        <v>108</v>
      </c>
      <c r="D87" s="74" t="s">
        <v>382</v>
      </c>
      <c r="E87" s="13" t="str">
        <f>HYPERLINK("https://youtu.be/LbyA59vouNQ","channel 1")</f>
        <v>channel 1</v>
      </c>
    </row>
    <row r="88">
      <c r="B88" s="72" t="s">
        <v>1363</v>
      </c>
      <c r="C88" s="75" t="s">
        <v>310</v>
      </c>
      <c r="D88" s="74" t="s">
        <v>1028</v>
      </c>
      <c r="E88" s="66" t="str">
        <f>HYPERLINK("https://youtu.be/jWfbWj6n77o","channel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1736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115</v>
      </c>
      <c r="C3" s="70" t="s">
        <v>103</v>
      </c>
      <c r="D3" s="71" t="s">
        <v>1559</v>
      </c>
      <c r="E3" s="13" t="str">
        <f>HYPERLINK("https://youtu.be/4yqHfvMn-EE","channel 1")</f>
        <v>channel 1</v>
      </c>
    </row>
    <row r="4">
      <c r="B4" s="72" t="s">
        <v>1558</v>
      </c>
      <c r="C4" s="73" t="s">
        <v>204</v>
      </c>
      <c r="D4" s="74" t="s">
        <v>1737</v>
      </c>
      <c r="E4" s="66" t="str">
        <f>HYPERLINK("https://youtu.be/4EeS6htpiW0","channel 2")</f>
        <v>channel 2</v>
      </c>
    </row>
    <row r="5">
      <c r="B5" s="72" t="s">
        <v>765</v>
      </c>
      <c r="C5" s="73" t="s">
        <v>103</v>
      </c>
      <c r="D5" s="74" t="s">
        <v>115</v>
      </c>
      <c r="E5" s="13" t="str">
        <f>HYPERLINK("https://youtu.be/qgg4_fxjoFA","channel 1")</f>
        <v>channel 1</v>
      </c>
    </row>
    <row r="6">
      <c r="B6" s="72" t="s">
        <v>1558</v>
      </c>
      <c r="C6" s="73" t="s">
        <v>232</v>
      </c>
      <c r="D6" s="74" t="s">
        <v>1559</v>
      </c>
      <c r="E6" s="66" t="str">
        <f>HYPERLINK("https://youtu.be/z1vpxXU6aek","channel 2")</f>
        <v>channel 2</v>
      </c>
    </row>
    <row r="7">
      <c r="B7" s="72" t="s">
        <v>765</v>
      </c>
      <c r="C7" s="73" t="s">
        <v>87</v>
      </c>
      <c r="D7" s="74" t="s">
        <v>1737</v>
      </c>
      <c r="E7" s="13" t="str">
        <f>HYPERLINK("https://youtu.be/rkYrveArjcU","channel 1")</f>
        <v>channel 1</v>
      </c>
    </row>
    <row r="8">
      <c r="B8" s="72" t="s">
        <v>1558</v>
      </c>
      <c r="C8" s="73" t="s">
        <v>332</v>
      </c>
      <c r="D8" s="74" t="s">
        <v>115</v>
      </c>
      <c r="E8" s="66" t="str">
        <f>HYPERLINK("https://youtu.be/ExGuodT3d7c","channel 2")</f>
        <v>channel 2</v>
      </c>
    </row>
    <row r="9">
      <c r="B9" s="72" t="s">
        <v>765</v>
      </c>
      <c r="C9" s="73" t="s">
        <v>322</v>
      </c>
      <c r="D9" s="74" t="s">
        <v>1559</v>
      </c>
      <c r="E9" s="13" t="str">
        <f>HYPERLINK("https://youtu.be/0jvFbjIYkCs","channel 1")</f>
        <v>channel 1</v>
      </c>
    </row>
    <row r="10">
      <c r="B10" s="72" t="s">
        <v>1737</v>
      </c>
      <c r="C10" s="73" t="s">
        <v>77</v>
      </c>
      <c r="D10" s="74" t="s">
        <v>115</v>
      </c>
      <c r="E10" s="66" t="str">
        <f>HYPERLINK("https://youtu.be/9R2MfCebMyk","channel 2")</f>
        <v>channel 2</v>
      </c>
    </row>
    <row r="11">
      <c r="B11" s="72" t="s">
        <v>765</v>
      </c>
      <c r="C11" s="73" t="s">
        <v>93</v>
      </c>
      <c r="D11" s="74" t="s">
        <v>1558</v>
      </c>
      <c r="E11" s="13" t="str">
        <f>HYPERLINK("https://youtu.be/6CX21J2aCBo","channel 1")</f>
        <v>channel 1</v>
      </c>
    </row>
    <row r="12">
      <c r="B12" s="72" t="s">
        <v>1737</v>
      </c>
      <c r="C12" s="73" t="s">
        <v>675</v>
      </c>
      <c r="D12" s="74" t="s">
        <v>1559</v>
      </c>
      <c r="E12" s="66" t="str">
        <f>HYPERLINK("https://youtu.be/UXtcayHc4Us","channel 2")</f>
        <v>channel 2</v>
      </c>
    </row>
    <row r="13">
      <c r="B13" s="72" t="s">
        <v>1559</v>
      </c>
      <c r="C13" s="73" t="s">
        <v>90</v>
      </c>
      <c r="D13" s="74" t="s">
        <v>115</v>
      </c>
      <c r="E13" s="13" t="str">
        <f>HYPERLINK("https://youtu.be/Lrm2qsZqieI","channel 1")</f>
        <v>channel 1</v>
      </c>
    </row>
    <row r="14">
      <c r="B14" s="72" t="s">
        <v>1737</v>
      </c>
      <c r="C14" s="73" t="s">
        <v>49</v>
      </c>
      <c r="D14" s="74" t="s">
        <v>1558</v>
      </c>
      <c r="E14" s="66" t="str">
        <f>HYPERLINK("https://youtu.be/IAoQV0N53qo","channel 2")</f>
        <v>channel 2</v>
      </c>
    </row>
    <row r="15">
      <c r="B15" s="72" t="s">
        <v>115</v>
      </c>
      <c r="C15" s="75" t="s">
        <v>109</v>
      </c>
      <c r="D15" s="74" t="s">
        <v>765</v>
      </c>
      <c r="E15" s="13" t="str">
        <f>HYPERLINK("https://youtu.be/wBuBrojP6jE","channel 1")</f>
        <v>channel 1</v>
      </c>
    </row>
    <row r="16">
      <c r="B16" s="72" t="s">
        <v>1559</v>
      </c>
      <c r="C16" s="75" t="s">
        <v>82</v>
      </c>
      <c r="D16" s="74" t="s">
        <v>1558</v>
      </c>
      <c r="E16" s="66" t="str">
        <f>HYPERLINK("https://youtu.be/_XvC_Fmcg9E","channel 2")</f>
        <v>channel 2</v>
      </c>
    </row>
    <row r="17">
      <c r="B17" s="72" t="s">
        <v>1737</v>
      </c>
      <c r="C17" s="75" t="s">
        <v>37</v>
      </c>
      <c r="D17" s="74" t="s">
        <v>765</v>
      </c>
      <c r="E17" s="13" t="str">
        <f>HYPERLINK("https://youtu.be/7GMJ43GyV2o","channel 1")</f>
        <v>channel 1</v>
      </c>
    </row>
    <row r="18">
      <c r="B18" s="72" t="s">
        <v>115</v>
      </c>
      <c r="C18" s="75" t="s">
        <v>99</v>
      </c>
      <c r="D18" s="74" t="s">
        <v>1558</v>
      </c>
      <c r="E18" s="66" t="str">
        <f>HYPERLINK("https://youtu.be/YqE5Ky4fBZA","channel 2")</f>
        <v>channel 2</v>
      </c>
    </row>
    <row r="19">
      <c r="B19" s="72" t="s">
        <v>1559</v>
      </c>
      <c r="C19" s="73" t="s">
        <v>35</v>
      </c>
      <c r="D19" s="74" t="s">
        <v>765</v>
      </c>
      <c r="E19" s="13" t="str">
        <f>HYPERLINK("https://youtu.be/hfUzjxFc8ZI","channel 1")</f>
        <v>channel 1</v>
      </c>
    </row>
    <row r="20">
      <c r="B20" s="72" t="s">
        <v>115</v>
      </c>
      <c r="C20" s="73" t="s">
        <v>34</v>
      </c>
      <c r="D20" s="74" t="s">
        <v>1737</v>
      </c>
      <c r="E20" s="66" t="str">
        <f>HYPERLINK("https://youtu.be/KmJqbLwo0qs","channel 2")</f>
        <v>channel 2</v>
      </c>
    </row>
    <row r="21">
      <c r="B21" s="72" t="s">
        <v>1558</v>
      </c>
      <c r="C21" s="75" t="s">
        <v>213</v>
      </c>
      <c r="D21" s="74" t="s">
        <v>765</v>
      </c>
      <c r="E21" s="13" t="str">
        <f>HYPERLINK("https://youtu.be/uYzeFi6bMDg","channel 1")</f>
        <v>channel 1</v>
      </c>
    </row>
    <row r="22">
      <c r="B22" s="72" t="s">
        <v>1559</v>
      </c>
      <c r="C22" s="75" t="s">
        <v>74</v>
      </c>
      <c r="D22" s="74" t="s">
        <v>1737</v>
      </c>
      <c r="E22" s="66" t="str">
        <f>HYPERLINK("https://youtu.be/ZSJwcTxnEXA","channel 2")</f>
        <v>channel 2</v>
      </c>
    </row>
    <row r="23">
      <c r="B23" s="2" t="s">
        <v>1741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1742</v>
      </c>
      <c r="C25" s="70" t="s">
        <v>109</v>
      </c>
      <c r="D25" s="71" t="s">
        <v>1104</v>
      </c>
      <c r="E25" s="13" t="str">
        <f>HYPERLINK("https://youtu.be/ULkj1EACUS8","channel 1")</f>
        <v>channel 1</v>
      </c>
    </row>
    <row r="26">
      <c r="B26" s="72" t="s">
        <v>1743</v>
      </c>
      <c r="C26" s="73" t="s">
        <v>191</v>
      </c>
      <c r="D26" s="74" t="s">
        <v>812</v>
      </c>
      <c r="E26" s="66" t="str">
        <f>HYPERLINK("https://youtu.be/j-b5GDtGu8k","channel 2")</f>
        <v>channel 2</v>
      </c>
    </row>
    <row r="27">
      <c r="B27" s="72" t="s">
        <v>1113</v>
      </c>
      <c r="C27" s="73" t="s">
        <v>193</v>
      </c>
      <c r="D27" s="74" t="s">
        <v>1742</v>
      </c>
      <c r="E27" s="13" t="str">
        <f>HYPERLINK("https://youtu.be/Y-y_ux_ex6Y","channel 1")</f>
        <v>channel 1</v>
      </c>
    </row>
    <row r="28">
      <c r="B28" s="72" t="s">
        <v>1743</v>
      </c>
      <c r="C28" s="73" t="s">
        <v>179</v>
      </c>
      <c r="D28" s="74" t="s">
        <v>1104</v>
      </c>
      <c r="E28" s="66" t="str">
        <f>HYPERLINK("https://youtu.be/Q0CijrMPflY","channel 2")</f>
        <v>channel 2</v>
      </c>
    </row>
    <row r="29">
      <c r="B29" s="72" t="s">
        <v>1113</v>
      </c>
      <c r="C29" s="73" t="s">
        <v>285</v>
      </c>
      <c r="D29" s="74" t="s">
        <v>812</v>
      </c>
      <c r="E29" s="13" t="str">
        <f>HYPERLINK("https://youtu.be/EbA3EDUTmzY","channel 1")</f>
        <v>channel 1</v>
      </c>
    </row>
    <row r="30">
      <c r="B30" s="72" t="s">
        <v>1743</v>
      </c>
      <c r="C30" s="73" t="s">
        <v>405</v>
      </c>
      <c r="D30" s="74" t="s">
        <v>1742</v>
      </c>
      <c r="E30" s="66" t="str">
        <f>HYPERLINK("https://youtu.be/9Kr3mGyg9As","channel 2")</f>
        <v>channel 2</v>
      </c>
    </row>
    <row r="31">
      <c r="B31" s="72" t="s">
        <v>1113</v>
      </c>
      <c r="C31" s="73" t="s">
        <v>156</v>
      </c>
      <c r="D31" s="74" t="s">
        <v>1104</v>
      </c>
      <c r="E31" s="13" t="str">
        <f>HYPERLINK("https://youtu.be/QqxnTTVJoV4","channel 1")</f>
        <v>channel 1</v>
      </c>
    </row>
    <row r="32">
      <c r="B32" s="72" t="s">
        <v>812</v>
      </c>
      <c r="C32" s="73" t="s">
        <v>35</v>
      </c>
      <c r="D32" s="74" t="s">
        <v>1742</v>
      </c>
      <c r="E32" s="66" t="str">
        <f>HYPERLINK("https://youtu.be/6Oi5-gtNKo8","channel 2")</f>
        <v>channel 2</v>
      </c>
    </row>
    <row r="33">
      <c r="B33" s="72" t="s">
        <v>1113</v>
      </c>
      <c r="C33" s="73" t="s">
        <v>37</v>
      </c>
      <c r="D33" s="74" t="s">
        <v>1743</v>
      </c>
      <c r="E33" s="13" t="str">
        <f>HYPERLINK("https://youtu.be/D6JD3aqQ0uA","channel 1")</f>
        <v>channel 1</v>
      </c>
    </row>
    <row r="34">
      <c r="B34" s="72" t="s">
        <v>812</v>
      </c>
      <c r="C34" s="73" t="s">
        <v>102</v>
      </c>
      <c r="D34" s="74" t="s">
        <v>1104</v>
      </c>
      <c r="E34" s="66" t="str">
        <f>HYPERLINK("https://youtu.be/oDqf-C5YQX0","channel 2")</f>
        <v>channel 2</v>
      </c>
    </row>
    <row r="35">
      <c r="B35" s="72" t="s">
        <v>1104</v>
      </c>
      <c r="C35" s="73" t="s">
        <v>460</v>
      </c>
      <c r="D35" s="74" t="s">
        <v>1742</v>
      </c>
      <c r="E35" s="23" t="s">
        <v>26</v>
      </c>
    </row>
    <row r="36">
      <c r="B36" s="72" t="s">
        <v>812</v>
      </c>
      <c r="C36" s="73" t="s">
        <v>211</v>
      </c>
      <c r="D36" s="74" t="s">
        <v>1743</v>
      </c>
      <c r="E36" s="66" t="str">
        <f>HYPERLINK("https://youtu.be/Ciq_FfPCOko","channel 2")</f>
        <v>channel 2</v>
      </c>
    </row>
    <row r="37">
      <c r="B37" s="72" t="s">
        <v>1742</v>
      </c>
      <c r="C37" s="75" t="s">
        <v>458</v>
      </c>
      <c r="D37" s="74" t="s">
        <v>1113</v>
      </c>
      <c r="E37" s="13" t="str">
        <f>HYPERLINK("https://youtu.be/PnfjcGTYhsY","channel 1")</f>
        <v>channel 1</v>
      </c>
    </row>
    <row r="38">
      <c r="B38" s="72" t="s">
        <v>1104</v>
      </c>
      <c r="C38" s="75" t="s">
        <v>193</v>
      </c>
      <c r="D38" s="74" t="s">
        <v>1743</v>
      </c>
      <c r="E38" s="66" t="str">
        <f>HYPERLINK("https://youtu.be/vdyU_LKmaRw","channel 2")</f>
        <v>channel 2</v>
      </c>
    </row>
    <row r="39">
      <c r="B39" s="72" t="s">
        <v>812</v>
      </c>
      <c r="C39" s="75" t="s">
        <v>109</v>
      </c>
      <c r="D39" s="74" t="s">
        <v>1113</v>
      </c>
      <c r="E39" s="13" t="str">
        <f>HYPERLINK("https://youtu.be/Y-Rfe0WUbMQ","channel 1")</f>
        <v>channel 1</v>
      </c>
    </row>
    <row r="40">
      <c r="B40" s="72" t="s">
        <v>1742</v>
      </c>
      <c r="C40" s="75" t="s">
        <v>214</v>
      </c>
      <c r="D40" s="74" t="s">
        <v>1743</v>
      </c>
      <c r="E40" s="66" t="str">
        <f>HYPERLINK("https://youtu.be/XhNfT6FxP7Y","channel 2")</f>
        <v>channel 2</v>
      </c>
    </row>
    <row r="41">
      <c r="B41" s="72" t="s">
        <v>1104</v>
      </c>
      <c r="C41" s="73" t="s">
        <v>156</v>
      </c>
      <c r="D41" s="74" t="s">
        <v>1113</v>
      </c>
      <c r="E41" s="13" t="str">
        <f>HYPERLINK("https://youtu.be/LKdg2mVOJ8w","channel 1")</f>
        <v>channel 1</v>
      </c>
    </row>
    <row r="42">
      <c r="B42" s="72" t="s">
        <v>1742</v>
      </c>
      <c r="C42" s="73" t="s">
        <v>57</v>
      </c>
      <c r="D42" s="74" t="s">
        <v>812</v>
      </c>
      <c r="E42" s="66" t="str">
        <f>HYPERLINK("https://youtu.be/V3voMSHiHm4","channel 2")</f>
        <v>channel 2</v>
      </c>
    </row>
    <row r="43">
      <c r="B43" s="72" t="s">
        <v>1743</v>
      </c>
      <c r="C43" s="75" t="s">
        <v>232</v>
      </c>
      <c r="D43" s="74" t="s">
        <v>1113</v>
      </c>
      <c r="E43" s="13" t="str">
        <f>HYPERLINK("https://youtu.be/w2o43wdRZUU","channel 1")</f>
        <v>channel 1</v>
      </c>
    </row>
    <row r="44">
      <c r="B44" s="72" t="s">
        <v>1104</v>
      </c>
      <c r="C44" s="75" t="s">
        <v>1746</v>
      </c>
      <c r="D44" s="74" t="s">
        <v>812</v>
      </c>
      <c r="E44" s="66" t="str">
        <f>HYPERLINK("https://youtu.be/XAPUpxSZqMk","channel 2")</f>
        <v>channel 2</v>
      </c>
    </row>
    <row r="45">
      <c r="B45" s="58" t="s">
        <v>1747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72" t="s">
        <v>1561</v>
      </c>
      <c r="C47" s="73" t="s">
        <v>671</v>
      </c>
      <c r="D47" s="74" t="s">
        <v>286</v>
      </c>
      <c r="E47" s="13" t="str">
        <f>HYPERLINK("https://youtu.be/-Itqbp4zmOk","channel 1")</f>
        <v>channel 1</v>
      </c>
    </row>
    <row r="48">
      <c r="B48" s="72" t="s">
        <v>1649</v>
      </c>
      <c r="C48" s="73" t="s">
        <v>32</v>
      </c>
      <c r="D48" s="74" t="s">
        <v>1076</v>
      </c>
      <c r="E48" s="66" t="str">
        <f>HYPERLINK("https://youtu.be/IZBYmQn19_Q","channel 2")</f>
        <v>channel 2</v>
      </c>
    </row>
    <row r="49">
      <c r="B49" s="72" t="s">
        <v>1561</v>
      </c>
      <c r="C49" s="73" t="s">
        <v>192</v>
      </c>
      <c r="D49" s="74" t="s">
        <v>1076</v>
      </c>
      <c r="E49" s="13" t="str">
        <f>HYPERLINK("https://youtu.be/Q2sxKam3TAc","channel 1")</f>
        <v>channel 1</v>
      </c>
    </row>
    <row r="50">
      <c r="B50" s="72" t="s">
        <v>875</v>
      </c>
      <c r="C50" s="73" t="s">
        <v>37</v>
      </c>
      <c r="D50" s="74" t="s">
        <v>286</v>
      </c>
      <c r="E50" s="66" t="str">
        <f>HYPERLINK("https://youtu.be/gUNAXZIkCBU","channel 2")</f>
        <v>channel 2</v>
      </c>
    </row>
    <row r="51">
      <c r="B51" s="72" t="s">
        <v>1561</v>
      </c>
      <c r="C51" s="73" t="s">
        <v>1748</v>
      </c>
      <c r="D51" s="74" t="s">
        <v>1649</v>
      </c>
      <c r="E51" s="13" t="str">
        <f>HYPERLINK("https://youtu.be/vz27I1U2R9M","channel 1")</f>
        <v>channel 1</v>
      </c>
    </row>
    <row r="52">
      <c r="B52" s="72" t="s">
        <v>875</v>
      </c>
      <c r="C52" s="73" t="s">
        <v>24</v>
      </c>
      <c r="D52" s="74" t="s">
        <v>1076</v>
      </c>
      <c r="E52" s="66" t="str">
        <f>HYPERLINK("https://youtu.be/xmrLvD-_mD8","channel 2")</f>
        <v>channel 2</v>
      </c>
    </row>
    <row r="53">
      <c r="B53" s="10" t="s">
        <v>1076</v>
      </c>
      <c r="C53" s="70" t="s">
        <v>109</v>
      </c>
      <c r="D53" s="71" t="s">
        <v>286</v>
      </c>
      <c r="E53" s="13" t="str">
        <f>HYPERLINK("https://youtu.be/sTkI8YcgjeQ","channel 1")</f>
        <v>channel 1</v>
      </c>
    </row>
    <row r="54">
      <c r="B54" s="72" t="s">
        <v>875</v>
      </c>
      <c r="C54" s="73" t="s">
        <v>214</v>
      </c>
      <c r="D54" s="74" t="s">
        <v>1649</v>
      </c>
      <c r="E54" s="66" t="str">
        <f>HYPERLINK("https://youtu.be/dDPfTgLtpjs","channel 2")</f>
        <v>channel 2</v>
      </c>
    </row>
    <row r="55">
      <c r="B55" s="72" t="s">
        <v>1561</v>
      </c>
      <c r="C55" s="73" t="s">
        <v>538</v>
      </c>
      <c r="D55" s="74" t="s">
        <v>875</v>
      </c>
      <c r="E55" s="13" t="str">
        <f>HYPERLINK("https://youtu.be/pwLxZ5zhv6s","channel 1")</f>
        <v>channel 1</v>
      </c>
    </row>
    <row r="56">
      <c r="B56" s="72" t="s">
        <v>1649</v>
      </c>
      <c r="C56" s="73" t="s">
        <v>157</v>
      </c>
      <c r="D56" s="74" t="s">
        <v>286</v>
      </c>
      <c r="E56" s="66" t="str">
        <f>HYPERLINK("https://youtu.be/Ui5BRKFVSHY","channel 2")</f>
        <v>channel 2</v>
      </c>
    </row>
    <row r="57">
      <c r="B57" s="72" t="s">
        <v>286</v>
      </c>
      <c r="C57" s="73" t="s">
        <v>57</v>
      </c>
      <c r="D57" s="74" t="s">
        <v>1076</v>
      </c>
      <c r="E57" s="13" t="str">
        <f>HYPERLINK("https://youtu.be/ry14CwDex1s","channel 1")</f>
        <v>channel 1</v>
      </c>
    </row>
    <row r="58">
      <c r="B58" s="72" t="s">
        <v>1649</v>
      </c>
      <c r="C58" s="73" t="s">
        <v>157</v>
      </c>
      <c r="D58" s="74" t="s">
        <v>875</v>
      </c>
      <c r="E58" s="66" t="str">
        <f>HYPERLINK("https://youtu.be/uX1Kk-vNei0","channel 2")</f>
        <v>channel 2</v>
      </c>
    </row>
    <row r="59">
      <c r="B59" s="72" t="s">
        <v>1076</v>
      </c>
      <c r="C59" s="75" t="s">
        <v>538</v>
      </c>
      <c r="D59" s="74" t="s">
        <v>1561</v>
      </c>
      <c r="E59" s="13" t="str">
        <f>HYPERLINK("https://youtu.be/SlyRGLA18O8","channel 1")</f>
        <v>channel 1</v>
      </c>
    </row>
    <row r="60">
      <c r="B60" s="72" t="s">
        <v>286</v>
      </c>
      <c r="C60" s="75" t="s">
        <v>102</v>
      </c>
      <c r="D60" s="74" t="s">
        <v>875</v>
      </c>
      <c r="E60" s="66" t="str">
        <f>HYPERLINK("https://youtu.be/b5PgjDvwsX4","channel 2")</f>
        <v>channel 2</v>
      </c>
    </row>
    <row r="61">
      <c r="B61" s="72" t="s">
        <v>1649</v>
      </c>
      <c r="C61" s="75" t="s">
        <v>84</v>
      </c>
      <c r="D61" s="74" t="s">
        <v>1561</v>
      </c>
      <c r="E61" s="13" t="str">
        <f>HYPERLINK("https://youtu.be/c07S1MQoa3Q","channel 1")</f>
        <v>channel 1</v>
      </c>
    </row>
    <row r="62">
      <c r="B62" s="72" t="s">
        <v>1076</v>
      </c>
      <c r="C62" s="75" t="s">
        <v>894</v>
      </c>
      <c r="D62" s="74" t="s">
        <v>875</v>
      </c>
      <c r="E62" s="66" t="str">
        <f>HYPERLINK("https://youtu.be/FgVRquR7-j0","channel 2")</f>
        <v>channel 2</v>
      </c>
    </row>
    <row r="63">
      <c r="B63" s="72" t="s">
        <v>286</v>
      </c>
      <c r="C63" s="73" t="s">
        <v>307</v>
      </c>
      <c r="D63" s="74" t="s">
        <v>1561</v>
      </c>
      <c r="E63" s="13" t="str">
        <f>HYPERLINK("https://youtu.be/wKvAZfBbP0U","channel 1")</f>
        <v>channel 1</v>
      </c>
    </row>
    <row r="64">
      <c r="B64" s="72" t="s">
        <v>1076</v>
      </c>
      <c r="C64" s="73" t="s">
        <v>99</v>
      </c>
      <c r="D64" s="74" t="s">
        <v>1649</v>
      </c>
      <c r="E64" s="66" t="str">
        <f>HYPERLINK("https://youtu.be/XiedvRQmS-A","channel 2")</f>
        <v>channel 2</v>
      </c>
    </row>
    <row r="65">
      <c r="B65" s="72" t="s">
        <v>875</v>
      </c>
      <c r="C65" s="75" t="s">
        <v>27</v>
      </c>
      <c r="D65" s="74" t="s">
        <v>1561</v>
      </c>
      <c r="E65" s="13" t="str">
        <f>HYPERLINK("https://youtu.be/1NXd9dJJEfU","channel 1")</f>
        <v>channel 1</v>
      </c>
    </row>
    <row r="66">
      <c r="B66" s="72" t="s">
        <v>286</v>
      </c>
      <c r="C66" s="75" t="s">
        <v>46</v>
      </c>
      <c r="D66" s="74" t="s">
        <v>1649</v>
      </c>
      <c r="E66" s="66" t="str">
        <f>HYPERLINK("https://youtu.be/NdRiyJY9_yk","channel 2")</f>
        <v>channel 2</v>
      </c>
    </row>
    <row r="67">
      <c r="B67" s="58" t="s">
        <v>1749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797</v>
      </c>
      <c r="C69" s="70" t="s">
        <v>10</v>
      </c>
      <c r="D69" s="71" t="s">
        <v>1519</v>
      </c>
      <c r="E69" s="13" t="str">
        <f>HYPERLINK("https://youtu.be/JqoTsIQml_Y","channel 1")</f>
        <v>channel 1</v>
      </c>
    </row>
    <row r="70">
      <c r="B70" s="72" t="s">
        <v>1750</v>
      </c>
      <c r="C70" s="73" t="s">
        <v>1296</v>
      </c>
      <c r="D70" s="74" t="s">
        <v>1606</v>
      </c>
      <c r="E70" s="66" t="str">
        <f>HYPERLINK("https://youtu.be/74zb0bW43_I","channel 2")</f>
        <v>channel 2</v>
      </c>
    </row>
    <row r="71">
      <c r="B71" s="72" t="s">
        <v>1751</v>
      </c>
      <c r="C71" s="73" t="s">
        <v>1752</v>
      </c>
      <c r="D71" s="74" t="s">
        <v>797</v>
      </c>
      <c r="E71" s="13" t="str">
        <f>HYPERLINK("https://youtu.be/x9PrpFQQqRI","channel 1")</f>
        <v>channel 1</v>
      </c>
    </row>
    <row r="72">
      <c r="B72" s="72" t="s">
        <v>1750</v>
      </c>
      <c r="C72" s="73" t="s">
        <v>47</v>
      </c>
      <c r="D72" s="74" t="s">
        <v>1519</v>
      </c>
      <c r="E72" s="66" t="str">
        <f>HYPERLINK("https://youtu.be/m13nD-0f7Bo","channel 2")</f>
        <v>channel 2</v>
      </c>
    </row>
    <row r="73">
      <c r="B73" s="72" t="s">
        <v>1751</v>
      </c>
      <c r="C73" s="73" t="s">
        <v>103</v>
      </c>
      <c r="D73" s="74" t="s">
        <v>1606</v>
      </c>
      <c r="E73" s="13" t="str">
        <f>HYPERLINK("https://youtu.be/FqvM3F7yfz4","channel 1")</f>
        <v>channel 1</v>
      </c>
    </row>
    <row r="74">
      <c r="B74" s="72" t="s">
        <v>1750</v>
      </c>
      <c r="C74" s="73" t="s">
        <v>34</v>
      </c>
      <c r="D74" s="74" t="s">
        <v>797</v>
      </c>
      <c r="E74" s="66" t="str">
        <f>HYPERLINK("https://youtu.be/nZGLfdKjZoE","channel 2")</f>
        <v>channel 2</v>
      </c>
    </row>
    <row r="75">
      <c r="B75" s="72" t="s">
        <v>1751</v>
      </c>
      <c r="C75" s="73" t="s">
        <v>384</v>
      </c>
      <c r="D75" s="74" t="s">
        <v>1519</v>
      </c>
      <c r="E75" s="13" t="str">
        <f>HYPERLINK("https://youtu.be/gtbJNQYzXXo","channel 1")</f>
        <v>channel 1</v>
      </c>
    </row>
    <row r="76">
      <c r="B76" s="72" t="s">
        <v>1606</v>
      </c>
      <c r="C76" s="73" t="s">
        <v>42</v>
      </c>
      <c r="D76" s="74" t="s">
        <v>797</v>
      </c>
      <c r="E76" s="66" t="str">
        <f>HYPERLINK("https://youtu.be/_oMtz-ZszZY","channel 2")</f>
        <v>channel 2</v>
      </c>
    </row>
    <row r="77">
      <c r="B77" s="72" t="s">
        <v>1751</v>
      </c>
      <c r="C77" s="73" t="s">
        <v>226</v>
      </c>
      <c r="D77" s="74" t="s">
        <v>1750</v>
      </c>
      <c r="E77" s="13" t="str">
        <f>HYPERLINK("https://youtu.be/tnb_szboY0U","channel 1")</f>
        <v>channel 1</v>
      </c>
    </row>
    <row r="78">
      <c r="B78" s="72" t="s">
        <v>1606</v>
      </c>
      <c r="C78" s="73" t="s">
        <v>124</v>
      </c>
      <c r="D78" s="74" t="s">
        <v>1519</v>
      </c>
      <c r="E78" s="66" t="str">
        <f>HYPERLINK("https://youtu.be/sxKzmrbLYHc","channel 2")</f>
        <v>channel 2</v>
      </c>
    </row>
    <row r="79">
      <c r="B79" s="72" t="s">
        <v>1519</v>
      </c>
      <c r="C79" s="73" t="s">
        <v>10</v>
      </c>
      <c r="D79" s="74" t="s">
        <v>797</v>
      </c>
      <c r="E79" s="13" t="str">
        <f>HYPERLINK("https://youtu.be/n6Mm9U4BS58","channel 1")</f>
        <v>channel 1</v>
      </c>
    </row>
    <row r="80">
      <c r="B80" s="72" t="s">
        <v>1606</v>
      </c>
      <c r="C80" s="73" t="s">
        <v>97</v>
      </c>
      <c r="D80" s="74" t="s">
        <v>1750</v>
      </c>
      <c r="E80" s="66" t="str">
        <f>HYPERLINK("https://youtu.be/edym1wK6G1I","channel 2")</f>
        <v>channel 2</v>
      </c>
    </row>
    <row r="81">
      <c r="B81" s="72" t="s">
        <v>797</v>
      </c>
      <c r="C81" s="75" t="s">
        <v>309</v>
      </c>
      <c r="D81" s="74" t="s">
        <v>1751</v>
      </c>
      <c r="E81" s="13" t="str">
        <f>HYPERLINK("https://youtu.be/nyJypwM5YHw","channel 1")</f>
        <v>channel 1</v>
      </c>
    </row>
    <row r="82">
      <c r="B82" s="72" t="s">
        <v>1519</v>
      </c>
      <c r="C82" s="75" t="s">
        <v>1753</v>
      </c>
      <c r="D82" s="74" t="s">
        <v>1750</v>
      </c>
      <c r="E82" s="66" t="str">
        <f>HYPERLINK("https://youtu.be/2Qy9j8wHHio","channel 2")</f>
        <v>channel 2</v>
      </c>
    </row>
    <row r="83">
      <c r="B83" s="72" t="s">
        <v>1606</v>
      </c>
      <c r="C83" s="75" t="s">
        <v>322</v>
      </c>
      <c r="D83" s="74" t="s">
        <v>1751</v>
      </c>
      <c r="E83" s="13" t="str">
        <f>HYPERLINK("https://youtu.be/WQEHKGFCsRs","channel 1")</f>
        <v>channel 1</v>
      </c>
    </row>
    <row r="84">
      <c r="B84" s="72" t="s">
        <v>797</v>
      </c>
      <c r="C84" s="75" t="s">
        <v>538</v>
      </c>
      <c r="D84" s="74" t="s">
        <v>1750</v>
      </c>
      <c r="E84" s="66" t="str">
        <f>HYPERLINK("https://youtu.be/guhiTF3Utbc","channel 2")</f>
        <v>channel 2</v>
      </c>
    </row>
    <row r="85">
      <c r="B85" s="72" t="s">
        <v>1519</v>
      </c>
      <c r="C85" s="73" t="s">
        <v>278</v>
      </c>
      <c r="D85" s="74" t="s">
        <v>1751</v>
      </c>
      <c r="E85" s="13" t="str">
        <f>HYPERLINK("https://youtu.be/YbY4NTSbewU","channel 1")</f>
        <v>channel 1</v>
      </c>
    </row>
    <row r="86">
      <c r="B86" s="72" t="s">
        <v>797</v>
      </c>
      <c r="C86" s="73" t="s">
        <v>156</v>
      </c>
      <c r="D86" s="74" t="s">
        <v>1606</v>
      </c>
      <c r="E86" s="66" t="str">
        <f>HYPERLINK("https://youtu.be/hEVM2BMHqlk","channel 2")</f>
        <v>channel 2</v>
      </c>
    </row>
    <row r="87">
      <c r="B87" s="72" t="s">
        <v>1750</v>
      </c>
      <c r="C87" s="75" t="s">
        <v>596</v>
      </c>
      <c r="D87" s="74" t="s">
        <v>1751</v>
      </c>
      <c r="E87" s="13" t="str">
        <f>HYPERLINK("https://youtu.be/XKBLRtpcICY","channel 1")</f>
        <v>channel 1</v>
      </c>
    </row>
    <row r="88">
      <c r="B88" s="72" t="s">
        <v>1519</v>
      </c>
      <c r="C88" s="75" t="s">
        <v>108</v>
      </c>
      <c r="D88" s="74" t="s">
        <v>1606</v>
      </c>
      <c r="E88" s="66" t="str">
        <f>HYPERLINK("https://youtu.be/ls8csbAeyHY","channel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483</v>
      </c>
      <c r="C3" s="70" t="s">
        <v>18</v>
      </c>
      <c r="D3" s="10" t="s">
        <v>1738</v>
      </c>
      <c r="E3" s="103" t="str">
        <f>HYPERLINK("https://youtu.be/JI6dEse-wzA","channel 1")</f>
        <v>channel 1</v>
      </c>
    </row>
    <row r="4">
      <c r="B4" s="72" t="s">
        <v>482</v>
      </c>
      <c r="C4" s="73" t="s">
        <v>44</v>
      </c>
      <c r="D4" s="72" t="s">
        <v>1739</v>
      </c>
      <c r="E4" s="103" t="str">
        <f>HYPERLINK("https://youtu.be/xzOGa0W0Lw0","channel 2")</f>
        <v>channel 2</v>
      </c>
    </row>
    <row r="5">
      <c r="B5" s="72" t="s">
        <v>1740</v>
      </c>
      <c r="C5" s="73" t="s">
        <v>97</v>
      </c>
      <c r="D5" s="72" t="s">
        <v>483</v>
      </c>
      <c r="E5" s="103" t="str">
        <f>HYPERLINK("https://youtu.be/MQxlGqtyRfA","channel 1")</f>
        <v>channel 1</v>
      </c>
    </row>
    <row r="6">
      <c r="B6" s="72" t="s">
        <v>482</v>
      </c>
      <c r="C6" s="73" t="s">
        <v>213</v>
      </c>
      <c r="D6" s="72" t="s">
        <v>1738</v>
      </c>
      <c r="E6" s="103" t="str">
        <f>HYPERLINK("https://youtu.be/ozEIsnhqkkw","channel 2")</f>
        <v>channel 2</v>
      </c>
    </row>
    <row r="7">
      <c r="B7" s="72" t="s">
        <v>1740</v>
      </c>
      <c r="C7" s="73" t="s">
        <v>145</v>
      </c>
      <c r="D7" s="72" t="s">
        <v>1739</v>
      </c>
      <c r="E7" s="32" t="str">
        <f>HYPERLINK("https://youtu.be/h83gVIsH1cs","channel 1")</f>
        <v>channel 1</v>
      </c>
    </row>
    <row r="8">
      <c r="B8" s="72" t="s">
        <v>482</v>
      </c>
      <c r="C8" s="73" t="s">
        <v>32</v>
      </c>
      <c r="D8" s="72" t="s">
        <v>483</v>
      </c>
      <c r="E8" s="84" t="str">
        <f>HYPERLINK("https://youtu.be/nPf6gY8oiaM","channel 2")</f>
        <v>channel 2</v>
      </c>
    </row>
    <row r="9">
      <c r="B9" s="72" t="s">
        <v>1740</v>
      </c>
      <c r="C9" s="73" t="s">
        <v>77</v>
      </c>
      <c r="D9" s="72" t="s">
        <v>1738</v>
      </c>
      <c r="E9" s="32" t="str">
        <f>HYPERLINK("https://youtu.be/e2xipggFsQk","channel 1")</f>
        <v>channel 1</v>
      </c>
    </row>
    <row r="10">
      <c r="B10" s="72" t="s">
        <v>1739</v>
      </c>
      <c r="C10" s="73" t="s">
        <v>24</v>
      </c>
      <c r="D10" s="72" t="s">
        <v>483</v>
      </c>
      <c r="E10" s="84" t="str">
        <f>HYPERLINK("https://youtu.be/YEw6WA1pr6U","channel 2")</f>
        <v>channel 2</v>
      </c>
    </row>
    <row r="11">
      <c r="B11" s="72" t="s">
        <v>1740</v>
      </c>
      <c r="C11" s="73" t="s">
        <v>34</v>
      </c>
      <c r="D11" s="72" t="s">
        <v>482</v>
      </c>
      <c r="E11" s="32" t="str">
        <f>HYPERLINK("https://youtu.be/IxKiOkTP8Cs","channel 1")</f>
        <v>channel 1</v>
      </c>
    </row>
    <row r="12">
      <c r="B12" s="72" t="s">
        <v>1739</v>
      </c>
      <c r="C12" s="73" t="s">
        <v>10</v>
      </c>
      <c r="D12" s="72" t="s">
        <v>1738</v>
      </c>
      <c r="E12" s="84" t="str">
        <f>HYPERLINK("https://youtu.be/u5Vqo53sE-0","channel 2")</f>
        <v>channel 2</v>
      </c>
    </row>
    <row r="13">
      <c r="B13" s="72" t="s">
        <v>1738</v>
      </c>
      <c r="C13" s="73" t="s">
        <v>32</v>
      </c>
      <c r="D13" s="72" t="s">
        <v>483</v>
      </c>
      <c r="E13" s="32" t="str">
        <f>HYPERLINK("https://youtu.be/8BYQQCQF1J4","channel 1")</f>
        <v>channel 1</v>
      </c>
    </row>
    <row r="14">
      <c r="B14" s="72" t="s">
        <v>1739</v>
      </c>
      <c r="C14" s="73" t="s">
        <v>34</v>
      </c>
      <c r="D14" s="72" t="s">
        <v>482</v>
      </c>
      <c r="E14" s="84" t="str">
        <f>HYPERLINK("https://youtu.be/repX_cJcrwI","channel 2")</f>
        <v>channel 2</v>
      </c>
    </row>
    <row r="15">
      <c r="B15" s="72" t="s">
        <v>483</v>
      </c>
      <c r="C15" s="75" t="s">
        <v>138</v>
      </c>
      <c r="D15" s="72" t="s">
        <v>1740</v>
      </c>
      <c r="E15" s="32" t="str">
        <f>HYPERLINK("https://youtu.be/EItQtWHX-To","channel 1")</f>
        <v>channel 1</v>
      </c>
    </row>
    <row r="16">
      <c r="B16" s="72" t="s">
        <v>1738</v>
      </c>
      <c r="C16" s="75" t="s">
        <v>104</v>
      </c>
      <c r="D16" s="72" t="s">
        <v>482</v>
      </c>
      <c r="E16" s="84" t="str">
        <f>HYPERLINK("https://youtu.be/bXAkLvcqzv4","channel 2")</f>
        <v>channel 2</v>
      </c>
    </row>
    <row r="17">
      <c r="B17" s="72" t="s">
        <v>1739</v>
      </c>
      <c r="C17" s="75" t="s">
        <v>210</v>
      </c>
      <c r="D17" s="72" t="s">
        <v>1740</v>
      </c>
      <c r="E17" s="32" t="str">
        <f>HYPERLINK("https://youtu.be/WguQnHUPaKM","channel 1")</f>
        <v>channel 1</v>
      </c>
    </row>
    <row r="18">
      <c r="B18" s="72" t="s">
        <v>483</v>
      </c>
      <c r="C18" s="75" t="s">
        <v>157</v>
      </c>
      <c r="D18" s="72" t="s">
        <v>482</v>
      </c>
      <c r="E18" s="84" t="str">
        <f>HYPERLINK("https://youtu.be/gL2MJOfEFf0","channel 2")</f>
        <v>channel 2</v>
      </c>
    </row>
    <row r="19">
      <c r="B19" s="72" t="s">
        <v>1738</v>
      </c>
      <c r="C19" s="75" t="s">
        <v>88</v>
      </c>
      <c r="D19" s="72" t="s">
        <v>1740</v>
      </c>
      <c r="E19" s="32" t="str">
        <f>HYPERLINK("https://youtu.be/ooQYLG86SMs","channel 1")</f>
        <v>channel 1</v>
      </c>
    </row>
    <row r="20">
      <c r="B20" s="72" t="s">
        <v>483</v>
      </c>
      <c r="C20" s="75" t="s">
        <v>770</v>
      </c>
      <c r="D20" s="72" t="s">
        <v>1739</v>
      </c>
      <c r="E20" s="84" t="str">
        <f>HYPERLINK("https://youtu.be/VVTFW7Hfo2c","channel 2")</f>
        <v>channel 2</v>
      </c>
    </row>
    <row r="21">
      <c r="B21" s="72" t="s">
        <v>482</v>
      </c>
      <c r="C21" s="75" t="s">
        <v>84</v>
      </c>
      <c r="D21" s="72" t="s">
        <v>1740</v>
      </c>
      <c r="E21" s="32" t="str">
        <f>HYPERLINK("https://youtu.be/6Qp8fmFQRhE","channel 1")</f>
        <v>channel 1</v>
      </c>
    </row>
    <row r="22">
      <c r="B22" s="72" t="s">
        <v>1738</v>
      </c>
      <c r="C22" s="75" t="s">
        <v>44</v>
      </c>
      <c r="D22" s="72" t="s">
        <v>1739</v>
      </c>
      <c r="E22" s="84" t="str">
        <f>HYPERLINK("https://youtu.be/RewwfVNlbCg","channel 2")</f>
        <v>channel 2</v>
      </c>
    </row>
    <row r="23">
      <c r="B23" s="2" t="s">
        <v>1337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369</v>
      </c>
      <c r="C25" s="70" t="s">
        <v>34</v>
      </c>
      <c r="D25" s="10" t="s">
        <v>1744</v>
      </c>
      <c r="E25" s="103" t="str">
        <f>HYPERLINK("https://youtu.be/nP6n_M5TscM","channel 1")</f>
        <v>channel 1</v>
      </c>
    </row>
    <row r="26">
      <c r="B26" s="72" t="s">
        <v>1338</v>
      </c>
      <c r="C26" s="73" t="s">
        <v>239</v>
      </c>
      <c r="D26" s="72" t="s">
        <v>1565</v>
      </c>
      <c r="E26" s="103" t="str">
        <f>HYPERLINK("https://youtu.be/-QMw3OK1EOw","channel 2")</f>
        <v>channel 2</v>
      </c>
    </row>
    <row r="27">
      <c r="B27" s="72" t="s">
        <v>1745</v>
      </c>
      <c r="C27" s="73" t="s">
        <v>103</v>
      </c>
      <c r="D27" s="72" t="s">
        <v>369</v>
      </c>
      <c r="E27" s="103" t="str">
        <f>HYPERLINK("https://youtu.be/njN80HcIGmM","channel 1")</f>
        <v>channel 1</v>
      </c>
    </row>
    <row r="28">
      <c r="B28" s="72" t="s">
        <v>1338</v>
      </c>
      <c r="C28" s="73" t="s">
        <v>239</v>
      </c>
      <c r="D28" s="72" t="s">
        <v>1744</v>
      </c>
      <c r="E28" s="103" t="str">
        <f>HYPERLINK("https://youtu.be/CXkzW1nCt2g","channel 2")</f>
        <v>channel 2</v>
      </c>
    </row>
    <row r="29">
      <c r="B29" s="72" t="s">
        <v>1745</v>
      </c>
      <c r="C29" s="73" t="s">
        <v>30</v>
      </c>
      <c r="D29" s="72" t="s">
        <v>1565</v>
      </c>
      <c r="E29" s="32" t="str">
        <f>HYPERLINK("https://youtu.be/GVJ0x7QRiGQ","channel 1")</f>
        <v>channel 1</v>
      </c>
    </row>
    <row r="30">
      <c r="B30" s="72" t="s">
        <v>1338</v>
      </c>
      <c r="C30" s="73" t="s">
        <v>124</v>
      </c>
      <c r="D30" s="72" t="s">
        <v>369</v>
      </c>
      <c r="E30" s="84" t="str">
        <f>HYPERLINK("https://youtu.be/WL4yGqkShPI","channel 2")</f>
        <v>channel 2</v>
      </c>
    </row>
    <row r="31">
      <c r="B31" s="72" t="s">
        <v>1745</v>
      </c>
      <c r="C31" s="73" t="s">
        <v>59</v>
      </c>
      <c r="D31" s="72" t="s">
        <v>1744</v>
      </c>
      <c r="E31" s="32" t="str">
        <f>HYPERLINK("https://youtu.be/7hUq_P7i72Q","channel 1")</f>
        <v>channel 1</v>
      </c>
    </row>
    <row r="32">
      <c r="B32" s="72" t="s">
        <v>1565</v>
      </c>
      <c r="C32" s="73" t="s">
        <v>141</v>
      </c>
      <c r="D32" s="72" t="s">
        <v>369</v>
      </c>
      <c r="E32" s="84" t="str">
        <f>HYPERLINK("https://youtu.be/jIlHLz-dR4s","channel 2")</f>
        <v>channel 2</v>
      </c>
    </row>
    <row r="33">
      <c r="B33" s="72" t="s">
        <v>1745</v>
      </c>
      <c r="C33" s="73" t="s">
        <v>77</v>
      </c>
      <c r="D33" s="72" t="s">
        <v>1338</v>
      </c>
      <c r="E33" s="32" t="str">
        <f>HYPERLINK("https://youtu.be/_WNVfC1dC6U","channel 1")</f>
        <v>channel 1</v>
      </c>
    </row>
    <row r="34">
      <c r="B34" s="72" t="s">
        <v>1565</v>
      </c>
      <c r="C34" s="73" t="s">
        <v>34</v>
      </c>
      <c r="D34" s="72" t="s">
        <v>1744</v>
      </c>
      <c r="E34" s="84" t="str">
        <f>HYPERLINK("https://youtu.be/eovm9xDamJQ","channel 2")</f>
        <v>channel 2</v>
      </c>
    </row>
    <row r="35">
      <c r="B35" s="72" t="s">
        <v>1744</v>
      </c>
      <c r="C35" s="73" t="s">
        <v>24</v>
      </c>
      <c r="D35" s="72" t="s">
        <v>369</v>
      </c>
      <c r="E35" s="32" t="str">
        <f>HYPERLINK("https://youtu.be/qlIaRvkj2Vk","channel 1")</f>
        <v>channel 1</v>
      </c>
    </row>
    <row r="36">
      <c r="B36" s="72" t="s">
        <v>1565</v>
      </c>
      <c r="C36" s="73" t="s">
        <v>318</v>
      </c>
      <c r="D36" s="72" t="s">
        <v>1338</v>
      </c>
      <c r="E36" s="84" t="str">
        <f>HYPERLINK("https://youtu.be/9MECfZ837Ac","channel 2")</f>
        <v>channel 2</v>
      </c>
    </row>
    <row r="37">
      <c r="B37" s="72" t="s">
        <v>369</v>
      </c>
      <c r="C37" s="75" t="s">
        <v>191</v>
      </c>
      <c r="D37" s="72" t="s">
        <v>1745</v>
      </c>
      <c r="E37" s="112" t="s">
        <v>26</v>
      </c>
    </row>
    <row r="38">
      <c r="B38" s="72" t="s">
        <v>1744</v>
      </c>
      <c r="C38" s="75" t="s">
        <v>1671</v>
      </c>
      <c r="D38" s="72" t="s">
        <v>1338</v>
      </c>
      <c r="E38" s="84" t="str">
        <f>HYPERLINK("https://youtu.be/2LHRG2RfZzo","channel 2")</f>
        <v>channel 2</v>
      </c>
    </row>
    <row r="39">
      <c r="B39" s="72" t="s">
        <v>1565</v>
      </c>
      <c r="C39" s="75" t="s">
        <v>103</v>
      </c>
      <c r="D39" s="72" t="s">
        <v>1745</v>
      </c>
      <c r="E39" s="32" t="str">
        <f>HYPERLINK("https://youtu.be/2YAvARsMds0","channel 1")</f>
        <v>channel 1</v>
      </c>
    </row>
    <row r="40">
      <c r="B40" s="72" t="s">
        <v>369</v>
      </c>
      <c r="C40" s="75" t="s">
        <v>146</v>
      </c>
      <c r="D40" s="72" t="s">
        <v>1338</v>
      </c>
      <c r="E40" s="84" t="str">
        <f>HYPERLINK("https://youtu.be/HvQwVYk8Brs","channel 2")</f>
        <v>channel 2</v>
      </c>
    </row>
    <row r="41">
      <c r="B41" s="72" t="s">
        <v>1744</v>
      </c>
      <c r="C41" s="75" t="s">
        <v>257</v>
      </c>
      <c r="D41" s="72" t="s">
        <v>1745</v>
      </c>
      <c r="E41" s="32" t="str">
        <f>HYPERLINK("https://youtu.be/B0EpyrJmOaE","channel 1")</f>
        <v>channel 1</v>
      </c>
    </row>
    <row r="42">
      <c r="B42" s="72" t="s">
        <v>369</v>
      </c>
      <c r="C42" s="75" t="s">
        <v>307</v>
      </c>
      <c r="D42" s="72" t="s">
        <v>1565</v>
      </c>
      <c r="E42" s="84" t="str">
        <f>HYPERLINK("https://youtu.be/4286-bC6sZA","channel 2")</f>
        <v>channel 2</v>
      </c>
    </row>
    <row r="43">
      <c r="B43" s="72" t="s">
        <v>1338</v>
      </c>
      <c r="C43" s="75" t="s">
        <v>216</v>
      </c>
      <c r="D43" s="72" t="s">
        <v>1745</v>
      </c>
      <c r="E43" s="32" t="str">
        <f>HYPERLINK("https://youtu.be/HcBQF8EGUKM","channel 1")</f>
        <v>channel 1</v>
      </c>
    </row>
    <row r="44">
      <c r="B44" s="72" t="s">
        <v>1744</v>
      </c>
      <c r="C44" s="75" t="s">
        <v>385</v>
      </c>
      <c r="D44" s="72" t="s">
        <v>1565</v>
      </c>
      <c r="E44" s="84" t="str">
        <f>HYPERLINK("https://youtu.be/kNvi57Y5fIw","channel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1319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1433</v>
      </c>
      <c r="C3" s="70" t="s">
        <v>74</v>
      </c>
      <c r="D3" s="71" t="s">
        <v>1665</v>
      </c>
      <c r="E3" s="103" t="str">
        <f>HYPERLINK("https://youtu.be/Uhl5xeYcfN4","channel 1")</f>
        <v>channel 1</v>
      </c>
    </row>
    <row r="4">
      <c r="B4" s="72" t="s">
        <v>1662</v>
      </c>
      <c r="C4" s="73" t="s">
        <v>145</v>
      </c>
      <c r="D4" s="74" t="s">
        <v>1754</v>
      </c>
      <c r="E4" s="103" t="str">
        <f>HYPERLINK("https://youtu.be/0GurDdgAXGw","channel 2")</f>
        <v>channel 2</v>
      </c>
    </row>
    <row r="5">
      <c r="B5" s="72" t="s">
        <v>1755</v>
      </c>
      <c r="C5" s="73" t="s">
        <v>10</v>
      </c>
      <c r="D5" s="74" t="s">
        <v>1433</v>
      </c>
      <c r="E5" s="103" t="str">
        <f>HYPERLINK("https://youtu.be/nKlkvHwgZeU","channel 1")</f>
        <v>channel 1</v>
      </c>
    </row>
    <row r="6">
      <c r="B6" s="72" t="s">
        <v>1662</v>
      </c>
      <c r="C6" s="73" t="s">
        <v>694</v>
      </c>
      <c r="D6" s="74" t="s">
        <v>1665</v>
      </c>
      <c r="E6" s="103" t="str">
        <f>HYPERLINK("https://youtu.be/lFMZ0x0Mx6I","channel 2")</f>
        <v>channel 2</v>
      </c>
    </row>
    <row r="7">
      <c r="B7" s="72" t="s">
        <v>1755</v>
      </c>
      <c r="C7" s="73" t="s">
        <v>46</v>
      </c>
      <c r="D7" s="74" t="s">
        <v>1754</v>
      </c>
      <c r="E7" s="103" t="str">
        <f>HYPERLINK("https://youtu.be/iYq903kp7xs","channel 1")</f>
        <v>channel 1</v>
      </c>
    </row>
    <row r="8">
      <c r="B8" s="72" t="s">
        <v>1662</v>
      </c>
      <c r="C8" s="73" t="s">
        <v>569</v>
      </c>
      <c r="D8" s="74" t="s">
        <v>1433</v>
      </c>
      <c r="E8" s="103" t="str">
        <f>HYPERLINK("https://youtu.be/YitToeEiD7A","channel 2")</f>
        <v>channel 2</v>
      </c>
    </row>
    <row r="9">
      <c r="B9" s="72" t="s">
        <v>1755</v>
      </c>
      <c r="C9" s="73" t="s">
        <v>538</v>
      </c>
      <c r="D9" s="74" t="s">
        <v>1665</v>
      </c>
      <c r="E9" s="103" t="str">
        <f>HYPERLINK("https://youtu.be/7vGN8L-5kII","channel 1")</f>
        <v>channel 1</v>
      </c>
    </row>
    <row r="10">
      <c r="B10" s="72" t="s">
        <v>1754</v>
      </c>
      <c r="C10" s="73" t="s">
        <v>882</v>
      </c>
      <c r="D10" s="74" t="s">
        <v>1433</v>
      </c>
      <c r="E10" s="103" t="str">
        <f>HYPERLINK("https://youtu.be/7uvN0ZxY9aY","channel 2")</f>
        <v>channel 2</v>
      </c>
    </row>
    <row r="11">
      <c r="B11" s="72" t="s">
        <v>1755</v>
      </c>
      <c r="C11" s="73" t="s">
        <v>77</v>
      </c>
      <c r="D11" s="74" t="s">
        <v>1662</v>
      </c>
      <c r="E11" s="103" t="str">
        <f>HYPERLINK("https://youtu.be/hA9URJNVoq8","channel 1")</f>
        <v>channel 1</v>
      </c>
    </row>
    <row r="12">
      <c r="B12" s="72" t="s">
        <v>1754</v>
      </c>
      <c r="C12" s="73" t="s">
        <v>211</v>
      </c>
      <c r="D12" s="74" t="s">
        <v>1665</v>
      </c>
      <c r="E12" s="103" t="str">
        <f>HYPERLINK("https://youtu.be/fJis59MzfUM","channel 2")</f>
        <v>channel 2</v>
      </c>
    </row>
    <row r="13">
      <c r="B13" s="72" t="s">
        <v>1665</v>
      </c>
      <c r="C13" s="73" t="s">
        <v>18</v>
      </c>
      <c r="D13" s="74" t="s">
        <v>1433</v>
      </c>
      <c r="E13" s="103" t="str">
        <f>HYPERLINK("https://youtu.be/3Z1elkKqXec","channel 1")</f>
        <v>channel 1</v>
      </c>
    </row>
    <row r="14">
      <c r="B14" s="72" t="s">
        <v>1754</v>
      </c>
      <c r="C14" s="73" t="s">
        <v>42</v>
      </c>
      <c r="D14" s="74" t="s">
        <v>1662</v>
      </c>
      <c r="E14" s="103" t="str">
        <f>HYPERLINK("https://youtu.be/WnEq2IOe6-k","channel 2")</f>
        <v>channel 2</v>
      </c>
    </row>
    <row r="15">
      <c r="B15" s="72" t="s">
        <v>1433</v>
      </c>
      <c r="C15" s="75" t="s">
        <v>34</v>
      </c>
      <c r="D15" s="74" t="s">
        <v>1755</v>
      </c>
      <c r="E15" s="103" t="str">
        <f>HYPERLINK("https://youtu.be/KKg2Yb-yJQE","channel 1")</f>
        <v>channel 1</v>
      </c>
      <c r="G15" s="47"/>
      <c r="H15" s="56"/>
      <c r="I15" s="47"/>
    </row>
    <row r="16">
      <c r="B16" s="72" t="s">
        <v>1665</v>
      </c>
      <c r="C16" s="75" t="s">
        <v>145</v>
      </c>
      <c r="D16" s="74" t="s">
        <v>1662</v>
      </c>
      <c r="E16" s="103" t="str">
        <f>HYPERLINK("https://youtu.be/nzNyVXoAhaY","channel 2")</f>
        <v>channel 2</v>
      </c>
      <c r="G16" s="47"/>
      <c r="H16" s="56"/>
      <c r="I16" s="47"/>
    </row>
    <row r="17">
      <c r="B17" s="72" t="s">
        <v>1754</v>
      </c>
      <c r="C17" s="75" t="s">
        <v>148</v>
      </c>
      <c r="D17" s="74" t="s">
        <v>1755</v>
      </c>
      <c r="E17" s="103" t="str">
        <f>HYPERLINK("https://youtu.be/tKAb2awmyVQ","channel 1")</f>
        <v>channel 1</v>
      </c>
    </row>
    <row r="18">
      <c r="B18" s="72" t="s">
        <v>1433</v>
      </c>
      <c r="C18" s="75" t="s">
        <v>1753</v>
      </c>
      <c r="D18" s="74" t="s">
        <v>1662</v>
      </c>
      <c r="E18" s="103" t="str">
        <f>HYPERLINK("https://youtu.be/wKHjvH4bnpo","channel 2")</f>
        <v>channel 2</v>
      </c>
    </row>
    <row r="19">
      <c r="B19" s="72" t="s">
        <v>1665</v>
      </c>
      <c r="C19" s="75" t="s">
        <v>213</v>
      </c>
      <c r="D19" s="74" t="s">
        <v>1755</v>
      </c>
      <c r="E19" s="103" t="str">
        <f>HYPERLINK("https://youtu.be/iJ7ZpDrnPUI","channel 1")</f>
        <v>channel 1</v>
      </c>
    </row>
    <row r="20">
      <c r="B20" s="72" t="s">
        <v>1433</v>
      </c>
      <c r="C20" s="75" t="s">
        <v>1756</v>
      </c>
      <c r="D20" s="74" t="s">
        <v>1754</v>
      </c>
      <c r="E20" s="103" t="str">
        <f>HYPERLINK("https://youtu.be/OxjwBrzLOo0","channel 2")</f>
        <v>channel 2</v>
      </c>
    </row>
    <row r="21">
      <c r="B21" s="72" t="s">
        <v>1662</v>
      </c>
      <c r="C21" s="75" t="s">
        <v>103</v>
      </c>
      <c r="D21" s="74" t="s">
        <v>1755</v>
      </c>
      <c r="E21" s="103" t="str">
        <f>HYPERLINK("https://youtu.be/11RsITDhVTc","channel 1")</f>
        <v>channel 1</v>
      </c>
    </row>
    <row r="22">
      <c r="B22" s="72" t="s">
        <v>1665</v>
      </c>
      <c r="C22" s="75" t="s">
        <v>135</v>
      </c>
      <c r="D22" s="74" t="s">
        <v>1754</v>
      </c>
      <c r="E22" s="103" t="str">
        <f>HYPERLINK("https://youtu.be/OyHJvh_FWG4","channel 2")</f>
        <v>channel 2</v>
      </c>
    </row>
    <row r="23">
      <c r="B23" s="2" t="s">
        <v>1757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1758</v>
      </c>
      <c r="C25" s="70" t="s">
        <v>213</v>
      </c>
      <c r="D25" s="71" t="s">
        <v>1759</v>
      </c>
      <c r="E25" s="103" t="str">
        <f>HYPERLINK("https://youtu.be/68AIZoR__CY","channel 1")</f>
        <v>channel 1</v>
      </c>
    </row>
    <row r="26">
      <c r="B26" s="72" t="s">
        <v>1760</v>
      </c>
      <c r="C26" s="73" t="s">
        <v>49</v>
      </c>
      <c r="D26" s="74" t="s">
        <v>994</v>
      </c>
      <c r="E26" s="103" t="str">
        <f>HYPERLINK("https://youtu.be/pwx5IGSwURI","channel 2")</f>
        <v>channel 2</v>
      </c>
    </row>
    <row r="27">
      <c r="B27" s="79" t="s">
        <v>1761</v>
      </c>
      <c r="C27" s="73" t="s">
        <v>832</v>
      </c>
      <c r="D27" s="74" t="s">
        <v>1758</v>
      </c>
      <c r="E27" s="103" t="str">
        <f>HYPERLINK("https://youtu.be/KS4Dthf2ho4","channel 1")</f>
        <v>channel 1</v>
      </c>
    </row>
    <row r="28">
      <c r="B28" s="72" t="s">
        <v>1760</v>
      </c>
      <c r="C28" s="73" t="s">
        <v>32</v>
      </c>
      <c r="D28" s="74" t="s">
        <v>1759</v>
      </c>
      <c r="E28" s="103" t="str">
        <f>HYPERLINK("https://youtu.be/3ZxXWJjsiJ8","channel 2")</f>
        <v>channel 2</v>
      </c>
    </row>
    <row r="29">
      <c r="B29" s="79" t="s">
        <v>1761</v>
      </c>
      <c r="C29" s="73" t="s">
        <v>212</v>
      </c>
      <c r="D29" s="74" t="s">
        <v>994</v>
      </c>
      <c r="E29" s="103" t="str">
        <f>HYPERLINK("https://youtu.be/RvZlbo6QkuE","channel 1")</f>
        <v>channel 1</v>
      </c>
    </row>
    <row r="30">
      <c r="B30" s="72" t="s">
        <v>1760</v>
      </c>
      <c r="C30" s="73" t="s">
        <v>249</v>
      </c>
      <c r="D30" s="74" t="s">
        <v>1758</v>
      </c>
      <c r="E30" s="103" t="str">
        <f>HYPERLINK("https://youtu.be/P8ztsPhNCHQ","channel 2")</f>
        <v>channel 2</v>
      </c>
    </row>
    <row r="31">
      <c r="B31" s="79" t="s">
        <v>1761</v>
      </c>
      <c r="C31" s="73" t="s">
        <v>148</v>
      </c>
      <c r="D31" s="74" t="s">
        <v>1759</v>
      </c>
      <c r="E31" s="103" t="str">
        <f>HYPERLINK("https://youtu.be/kszWQhNB-c8","channel 1")</f>
        <v>channel 1</v>
      </c>
    </row>
    <row r="32">
      <c r="B32" s="72" t="s">
        <v>994</v>
      </c>
      <c r="C32" s="73" t="s">
        <v>18</v>
      </c>
      <c r="D32" s="74" t="s">
        <v>1758</v>
      </c>
      <c r="E32" s="103" t="str">
        <f>HYPERLINK("https://youtu.be/xb96KfXE49c","channel 2")</f>
        <v>channel 2</v>
      </c>
    </row>
    <row r="33">
      <c r="B33" s="79" t="s">
        <v>1761</v>
      </c>
      <c r="C33" s="73" t="s">
        <v>46</v>
      </c>
      <c r="D33" s="74" t="s">
        <v>1760</v>
      </c>
      <c r="E33" s="103" t="str">
        <f>HYPERLINK("https://youtu.be/S0OaQL6cYjc","channel 1")</f>
        <v>channel 1</v>
      </c>
    </row>
    <row r="34">
      <c r="B34" s="72" t="s">
        <v>994</v>
      </c>
      <c r="C34" s="73" t="s">
        <v>436</v>
      </c>
      <c r="D34" s="74" t="s">
        <v>1759</v>
      </c>
      <c r="E34" s="103" t="str">
        <f>HYPERLINK("https://youtu.be/s1ZRjFmmiD0","channel 2")</f>
        <v>channel 2</v>
      </c>
    </row>
    <row r="35">
      <c r="B35" s="72" t="s">
        <v>1759</v>
      </c>
      <c r="C35" s="73" t="s">
        <v>156</v>
      </c>
      <c r="D35" s="74" t="s">
        <v>1758</v>
      </c>
      <c r="E35" s="103" t="str">
        <f>HYPERLINK("https://youtu.be/OQ9KthlhUWo","channel 1")</f>
        <v>channel 1</v>
      </c>
    </row>
    <row r="36">
      <c r="B36" s="72" t="s">
        <v>994</v>
      </c>
      <c r="C36" s="73" t="s">
        <v>148</v>
      </c>
      <c r="D36" s="74" t="s">
        <v>1760</v>
      </c>
      <c r="E36" s="103" t="str">
        <f>HYPERLINK("https://youtu.be/B5cJH0d6T9Y","channel 2")</f>
        <v>channel 2</v>
      </c>
    </row>
    <row r="37">
      <c r="B37" s="72" t="s">
        <v>1758</v>
      </c>
      <c r="C37" s="75" t="s">
        <v>24</v>
      </c>
      <c r="D37" s="79" t="s">
        <v>1761</v>
      </c>
      <c r="E37" s="103" t="str">
        <f>HYPERLINK("https://youtu.be/mqLIqoym8-s","channel 1")</f>
        <v>channel 1</v>
      </c>
    </row>
    <row r="38">
      <c r="B38" s="72" t="s">
        <v>1759</v>
      </c>
      <c r="C38" s="75" t="s">
        <v>49</v>
      </c>
      <c r="D38" s="74" t="s">
        <v>1760</v>
      </c>
      <c r="E38" s="103" t="str">
        <f>HYPERLINK("https://youtu.be/vvV_Nog5dmU","channel 2")</f>
        <v>channel 2</v>
      </c>
    </row>
    <row r="39">
      <c r="B39" s="72" t="s">
        <v>994</v>
      </c>
      <c r="C39" s="75" t="s">
        <v>113</v>
      </c>
      <c r="D39" s="79" t="s">
        <v>1761</v>
      </c>
      <c r="E39" s="103" t="str">
        <f>HYPERLINK("https://youtu.be/tPjnWSRIno8","channel 1")</f>
        <v>channel 1</v>
      </c>
    </row>
    <row r="40">
      <c r="B40" s="72" t="s">
        <v>1758</v>
      </c>
      <c r="C40" s="75" t="s">
        <v>339</v>
      </c>
      <c r="D40" s="74" t="s">
        <v>1760</v>
      </c>
      <c r="E40" s="103" t="str">
        <f>HYPERLINK("https://youtu.be/iMd5Nhvhq2Q","channel 2")</f>
        <v>channel 2</v>
      </c>
    </row>
    <row r="41">
      <c r="B41" s="72" t="s">
        <v>1759</v>
      </c>
      <c r="C41" s="75" t="s">
        <v>104</v>
      </c>
      <c r="D41" s="79" t="s">
        <v>1761</v>
      </c>
      <c r="E41" s="103" t="str">
        <f>HYPERLINK("https://youtu.be/23urr3_fdFk","channel 1")</f>
        <v>channel 1</v>
      </c>
    </row>
    <row r="42">
      <c r="B42" s="72" t="s">
        <v>1758</v>
      </c>
      <c r="C42" s="75" t="s">
        <v>859</v>
      </c>
      <c r="D42" s="74" t="s">
        <v>994</v>
      </c>
      <c r="E42" s="103" t="str">
        <f>HYPERLINK("https://youtu.be/X5xtQjYC1Wg","channel 2")</f>
        <v>channel 2</v>
      </c>
    </row>
    <row r="43">
      <c r="B43" s="72" t="s">
        <v>1760</v>
      </c>
      <c r="C43" s="75" t="s">
        <v>46</v>
      </c>
      <c r="D43" s="79" t="s">
        <v>1761</v>
      </c>
      <c r="E43" s="103" t="str">
        <f>HYPERLINK("https://youtu.be/8FeJXLYm6bM","channel 1")</f>
        <v>channel 1</v>
      </c>
    </row>
    <row r="44">
      <c r="B44" s="72" t="s">
        <v>1759</v>
      </c>
      <c r="C44" s="75" t="s">
        <v>113</v>
      </c>
      <c r="D44" s="74" t="s">
        <v>994</v>
      </c>
      <c r="E44" s="103" t="str">
        <f>HYPERLINK("https://youtu.be/lXaI1Kjs2-k","channel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1762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8" t="s">
        <v>1763</v>
      </c>
      <c r="C3" s="70" t="s">
        <v>108</v>
      </c>
      <c r="D3" s="85" t="s">
        <v>16</v>
      </c>
      <c r="E3" s="13" t="str">
        <f>HYPERLINK("https://youtu.be/y6nA97onj1A","channel 1")</f>
        <v>channel 1</v>
      </c>
    </row>
    <row r="4">
      <c r="B4" s="79" t="s">
        <v>790</v>
      </c>
      <c r="C4" s="73" t="s">
        <v>82</v>
      </c>
      <c r="D4" s="86" t="s">
        <v>1269</v>
      </c>
      <c r="E4" s="66" t="str">
        <f>HYPERLINK("https://youtu.be/99QCjc56sDk","channel 2")</f>
        <v>channel 2</v>
      </c>
    </row>
    <row r="5">
      <c r="B5" s="79" t="s">
        <v>23</v>
      </c>
      <c r="C5" s="73" t="s">
        <v>461</v>
      </c>
      <c r="D5" s="86" t="s">
        <v>1763</v>
      </c>
      <c r="E5" s="13" t="str">
        <f>HYPERLINK("https://youtu.be/x1FxN_g6S8k","channel 1")</f>
        <v>channel 1</v>
      </c>
    </row>
    <row r="6">
      <c r="B6" s="79" t="s">
        <v>790</v>
      </c>
      <c r="C6" s="73" t="s">
        <v>397</v>
      </c>
      <c r="D6" s="86" t="s">
        <v>16</v>
      </c>
      <c r="E6" s="66" t="str">
        <f>HYPERLINK("https://youtu.be/q3RHElEc78s","channel 2")</f>
        <v>channel 2</v>
      </c>
    </row>
    <row r="7">
      <c r="B7" s="79" t="s">
        <v>23</v>
      </c>
      <c r="C7" s="73" t="s">
        <v>46</v>
      </c>
      <c r="D7" s="86" t="s">
        <v>1269</v>
      </c>
      <c r="E7" s="13" t="str">
        <f>HYPERLINK("https://youtu.be/_cMxvrXsYoQ","channel 1")</f>
        <v>channel 1</v>
      </c>
    </row>
    <row r="8">
      <c r="B8" s="79" t="s">
        <v>790</v>
      </c>
      <c r="C8" s="73" t="s">
        <v>74</v>
      </c>
      <c r="D8" s="86" t="s">
        <v>1763</v>
      </c>
      <c r="E8" s="66" t="str">
        <f>HYPERLINK("https://youtu.be/c3qNU72LnVM","channel 2")</f>
        <v>channel 2</v>
      </c>
    </row>
    <row r="9">
      <c r="B9" s="79" t="s">
        <v>23</v>
      </c>
      <c r="C9" s="73" t="s">
        <v>296</v>
      </c>
      <c r="D9" s="86" t="s">
        <v>16</v>
      </c>
      <c r="E9" s="13" t="str">
        <f>HYPERLINK("https://youtu.be/UsgV7bHsFNQ","channel 1")</f>
        <v>channel 1</v>
      </c>
    </row>
    <row r="10">
      <c r="B10" s="79" t="s">
        <v>1269</v>
      </c>
      <c r="C10" s="73" t="s">
        <v>214</v>
      </c>
      <c r="D10" s="86" t="s">
        <v>1763</v>
      </c>
      <c r="E10" s="66" t="str">
        <f>HYPERLINK("https://youtu.be/ebC_cwKD3yA","channel 2")</f>
        <v>channel 2</v>
      </c>
    </row>
    <row r="11">
      <c r="B11" s="79" t="s">
        <v>23</v>
      </c>
      <c r="C11" s="73" t="s">
        <v>77</v>
      </c>
      <c r="D11" s="86" t="s">
        <v>790</v>
      </c>
      <c r="E11" s="13" t="str">
        <f>HYPERLINK("https://youtu.be/ShSOuXC2Lig","channel 1")</f>
        <v>channel 1</v>
      </c>
    </row>
    <row r="12">
      <c r="B12" s="79" t="s">
        <v>1269</v>
      </c>
      <c r="C12" s="73" t="s">
        <v>10</v>
      </c>
      <c r="D12" s="86" t="s">
        <v>16</v>
      </c>
      <c r="E12" s="66" t="str">
        <f>HYPERLINK("https://youtu.be/QER2l_3pkM0","channel 2")</f>
        <v>channel 2</v>
      </c>
    </row>
    <row r="13">
      <c r="B13" s="79" t="s">
        <v>16</v>
      </c>
      <c r="C13" s="73" t="s">
        <v>278</v>
      </c>
      <c r="D13" s="86" t="s">
        <v>1763</v>
      </c>
      <c r="E13" s="13" t="str">
        <f>HYPERLINK("https://youtu.be/yXKtm6GpLuU","channel 1")</f>
        <v>channel 1</v>
      </c>
    </row>
    <row r="14">
      <c r="B14" s="79" t="s">
        <v>1269</v>
      </c>
      <c r="C14" s="73" t="s">
        <v>34</v>
      </c>
      <c r="D14" s="86" t="s">
        <v>790</v>
      </c>
      <c r="E14" s="66" t="str">
        <f>HYPERLINK("https://youtu.be/-tDaKC2i_vU","channel 2")</f>
        <v>channel 2</v>
      </c>
    </row>
    <row r="15">
      <c r="B15" s="79" t="s">
        <v>1763</v>
      </c>
      <c r="C15" s="75" t="s">
        <v>277</v>
      </c>
      <c r="D15" s="86" t="s">
        <v>23</v>
      </c>
      <c r="E15" s="13" t="str">
        <f>HYPERLINK("https://youtu.be/VVDQ76Tgb-s","channel 1")</f>
        <v>channel 1</v>
      </c>
    </row>
    <row r="16">
      <c r="B16" s="79" t="s">
        <v>16</v>
      </c>
      <c r="C16" s="75" t="s">
        <v>724</v>
      </c>
      <c r="D16" s="86" t="s">
        <v>790</v>
      </c>
      <c r="E16" s="66" t="str">
        <f>HYPERLINK("https://youtu.be/CX8sQUvLbxM","channel 2")</f>
        <v>channel 2</v>
      </c>
    </row>
    <row r="17">
      <c r="B17" s="79" t="s">
        <v>1269</v>
      </c>
      <c r="C17" s="75" t="s">
        <v>210</v>
      </c>
      <c r="D17" s="86" t="s">
        <v>23</v>
      </c>
      <c r="E17" s="13" t="str">
        <f>HYPERLINK("https://youtu.be/klZCpnZvPek","channel 1")</f>
        <v>channel 1</v>
      </c>
    </row>
    <row r="18">
      <c r="B18" s="79" t="s">
        <v>1763</v>
      </c>
      <c r="C18" s="75" t="s">
        <v>522</v>
      </c>
      <c r="D18" s="86" t="s">
        <v>790</v>
      </c>
      <c r="E18" s="66" t="str">
        <f>HYPERLINK("https://youtu.be/Bxt8yySldAQ","channel 2")</f>
        <v>channel 2</v>
      </c>
    </row>
    <row r="19">
      <c r="B19" s="79" t="s">
        <v>16</v>
      </c>
      <c r="C19" s="73" t="s">
        <v>34</v>
      </c>
      <c r="D19" s="86" t="s">
        <v>23</v>
      </c>
      <c r="E19" s="13" t="str">
        <f>HYPERLINK("https://youtu.be/xwEE3bbVoHU","channel 1")</f>
        <v>channel 1</v>
      </c>
    </row>
    <row r="20">
      <c r="B20" s="79" t="s">
        <v>1763</v>
      </c>
      <c r="C20" s="73" t="s">
        <v>34</v>
      </c>
      <c r="D20" s="86" t="s">
        <v>1269</v>
      </c>
      <c r="E20" s="66" t="str">
        <f>HYPERLINK("https://youtu.be/mSzi-vqBB5g","channel 2")</f>
        <v>channel 2</v>
      </c>
    </row>
    <row r="21">
      <c r="B21" s="79" t="s">
        <v>790</v>
      </c>
      <c r="C21" s="75" t="s">
        <v>33</v>
      </c>
      <c r="D21" s="86" t="s">
        <v>23</v>
      </c>
      <c r="E21" s="13" t="str">
        <f>HYPERLINK("https://youtu.be/Cts7RUhe9LM","channel 1")</f>
        <v>channel 1</v>
      </c>
    </row>
    <row r="22">
      <c r="B22" s="79" t="s">
        <v>16</v>
      </c>
      <c r="C22" s="75" t="s">
        <v>74</v>
      </c>
      <c r="D22" s="86" t="s">
        <v>1269</v>
      </c>
      <c r="E22" s="66" t="str">
        <f>HYPERLINK("https://youtu.be/TEIrG8ajT_Q","channel 2")</f>
        <v>channel 2</v>
      </c>
    </row>
    <row r="23">
      <c r="B23" s="2" t="s">
        <v>1770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8" t="s">
        <v>1772</v>
      </c>
      <c r="C25" s="70" t="s">
        <v>160</v>
      </c>
      <c r="D25" s="28" t="s">
        <v>1773</v>
      </c>
      <c r="E25" s="13" t="str">
        <f>HYPERLINK("https://youtu.be/CmA1OQRuEuw","channel 1")</f>
        <v>channel 1</v>
      </c>
    </row>
    <row r="26">
      <c r="B26" s="79" t="s">
        <v>1307</v>
      </c>
      <c r="C26" s="73" t="s">
        <v>11</v>
      </c>
      <c r="D26" s="79" t="s">
        <v>48</v>
      </c>
      <c r="E26" s="65" t="s">
        <v>28</v>
      </c>
    </row>
    <row r="27">
      <c r="B27" s="79" t="s">
        <v>605</v>
      </c>
      <c r="C27" s="73" t="s">
        <v>191</v>
      </c>
      <c r="D27" s="79" t="s">
        <v>1772</v>
      </c>
      <c r="E27" s="13" t="str">
        <f>HYPERLINK("https://youtu.be/VC6Kq7bwGwk","channel 1")</f>
        <v>channel 1</v>
      </c>
    </row>
    <row r="28">
      <c r="B28" s="79" t="s">
        <v>1307</v>
      </c>
      <c r="C28" s="73" t="s">
        <v>910</v>
      </c>
      <c r="D28" s="79" t="s">
        <v>1773</v>
      </c>
      <c r="E28" s="66" t="str">
        <f>HYPERLINK("https://youtu.be/4d-yZn5wz0M","channel 2")</f>
        <v>channel 2</v>
      </c>
    </row>
    <row r="29">
      <c r="B29" s="79" t="s">
        <v>605</v>
      </c>
      <c r="C29" s="73" t="s">
        <v>109</v>
      </c>
      <c r="D29" s="79" t="s">
        <v>48</v>
      </c>
      <c r="E29" s="13" t="str">
        <f>HYPERLINK("https://youtu.be/EgWaTlLKhw0","channel 1")</f>
        <v>channel 1</v>
      </c>
    </row>
    <row r="30">
      <c r="B30" s="79" t="s">
        <v>1307</v>
      </c>
      <c r="C30" s="73" t="s">
        <v>318</v>
      </c>
      <c r="D30" s="79" t="s">
        <v>1772</v>
      </c>
      <c r="E30" s="66" t="str">
        <f>HYPERLINK("https://youtu.be/TD9pKGms3ko","channel 2")</f>
        <v>channel 2</v>
      </c>
    </row>
    <row r="31">
      <c r="B31" s="79" t="s">
        <v>605</v>
      </c>
      <c r="C31" s="73" t="s">
        <v>32</v>
      </c>
      <c r="D31" s="79" t="s">
        <v>1773</v>
      </c>
      <c r="E31" s="13" t="str">
        <f>HYPERLINK("https://youtu.be/FPGbkKvz2WQ","channel 1")</f>
        <v>channel 1</v>
      </c>
    </row>
    <row r="32">
      <c r="B32" s="79" t="s">
        <v>48</v>
      </c>
      <c r="C32" s="73" t="s">
        <v>144</v>
      </c>
      <c r="D32" s="79" t="s">
        <v>1772</v>
      </c>
      <c r="E32" s="66" t="str">
        <f>HYPERLINK("https://youtu.be/LbcgIiAPkyw","channel 2")</f>
        <v>channel 2</v>
      </c>
    </row>
    <row r="33">
      <c r="B33" s="79" t="s">
        <v>605</v>
      </c>
      <c r="C33" s="73" t="s">
        <v>111</v>
      </c>
      <c r="D33" s="79" t="s">
        <v>1307</v>
      </c>
      <c r="E33" s="13" t="str">
        <f>HYPERLINK("https://youtu.be/6vWxN5JqStM","channel 1")</f>
        <v>channel 1</v>
      </c>
    </row>
    <row r="34">
      <c r="B34" s="79" t="s">
        <v>48</v>
      </c>
      <c r="C34" s="73" t="s">
        <v>20</v>
      </c>
      <c r="D34" s="79" t="s">
        <v>1773</v>
      </c>
      <c r="E34" s="66" t="str">
        <f>HYPERLINK("https://youtu.be/QG_nKRYd3HU","channel 2")</f>
        <v>channel 2</v>
      </c>
    </row>
    <row r="35">
      <c r="B35" s="79" t="s">
        <v>1773</v>
      </c>
      <c r="C35" s="73" t="s">
        <v>24</v>
      </c>
      <c r="D35" s="79" t="s">
        <v>1772</v>
      </c>
      <c r="E35" s="13" t="str">
        <f>HYPERLINK("https://youtu.be/8m27tWLJudU","channel 1")</f>
        <v>channel 1</v>
      </c>
    </row>
    <row r="36">
      <c r="B36" s="79" t="s">
        <v>48</v>
      </c>
      <c r="C36" s="73" t="s">
        <v>230</v>
      </c>
      <c r="D36" s="79" t="s">
        <v>1307</v>
      </c>
      <c r="E36" s="66" t="str">
        <f>HYPERLINK("https://youtu.be/kLAmXlTSJlw","channel 2")</f>
        <v>channel 2</v>
      </c>
    </row>
    <row r="37">
      <c r="B37" s="79" t="s">
        <v>1772</v>
      </c>
      <c r="C37" s="75" t="s">
        <v>20</v>
      </c>
      <c r="D37" s="79" t="s">
        <v>605</v>
      </c>
      <c r="E37" s="13" t="str">
        <f>HYPERLINK("https://youtu.be/eNz_ZdlLiiw","channel 1")</f>
        <v>channel 1</v>
      </c>
    </row>
    <row r="38">
      <c r="B38" s="79" t="s">
        <v>1773</v>
      </c>
      <c r="C38" s="75" t="s">
        <v>117</v>
      </c>
      <c r="D38" s="79" t="s">
        <v>1307</v>
      </c>
      <c r="E38" s="66" t="str">
        <f>HYPERLINK("https://youtu.be/Ua75v4f-Xvs","channel 2")</f>
        <v>channel 2</v>
      </c>
    </row>
    <row r="39">
      <c r="B39" s="79" t="s">
        <v>48</v>
      </c>
      <c r="C39" s="75" t="s">
        <v>1331</v>
      </c>
      <c r="D39" s="79" t="s">
        <v>605</v>
      </c>
      <c r="E39" s="13" t="str">
        <f>HYPERLINK("https://youtu.be/th5iat8pB1A","channel 1")</f>
        <v>channel 1</v>
      </c>
    </row>
    <row r="40">
      <c r="B40" s="79" t="s">
        <v>1772</v>
      </c>
      <c r="C40" s="75" t="s">
        <v>577</v>
      </c>
      <c r="D40" s="79" t="s">
        <v>1307</v>
      </c>
      <c r="E40" s="66" t="str">
        <f>HYPERLINK("https://youtu.be/XgWEZBw-Lyo","channel 2")</f>
        <v>channel 2</v>
      </c>
    </row>
    <row r="41">
      <c r="B41" s="79" t="s">
        <v>1773</v>
      </c>
      <c r="C41" s="73" t="s">
        <v>343</v>
      </c>
      <c r="D41" s="79" t="s">
        <v>605</v>
      </c>
      <c r="E41" s="13" t="str">
        <f>HYPERLINK("https://youtu.be/sGpdXbyqwCE","channel 1")</f>
        <v>channel 1</v>
      </c>
    </row>
    <row r="42">
      <c r="B42" s="79" t="s">
        <v>1772</v>
      </c>
      <c r="C42" s="73" t="s">
        <v>277</v>
      </c>
      <c r="D42" s="79" t="s">
        <v>48</v>
      </c>
      <c r="E42" s="66" t="str">
        <f>HYPERLINK("https://youtu.be/sK43MpTYBrQ","channel 2")</f>
        <v>channel 2</v>
      </c>
    </row>
    <row r="43">
      <c r="B43" s="79" t="s">
        <v>1307</v>
      </c>
      <c r="C43" s="75" t="s">
        <v>268</v>
      </c>
      <c r="D43" s="79" t="s">
        <v>605</v>
      </c>
      <c r="E43" s="13" t="str">
        <f>HYPERLINK("https://youtu.be/qcLyFha4MSs","channel 1")</f>
        <v>channel 1</v>
      </c>
    </row>
    <row r="44">
      <c r="B44" s="79" t="s">
        <v>1773</v>
      </c>
      <c r="C44" s="75" t="s">
        <v>141</v>
      </c>
      <c r="D44" s="79" t="s">
        <v>48</v>
      </c>
      <c r="E44" s="66" t="str">
        <f>HYPERLINK("https://youtu.be/1akp2yJhHFw","channel 2")</f>
        <v>channel 2</v>
      </c>
    </row>
    <row r="45">
      <c r="B45" s="58" t="s">
        <v>1776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28" t="s">
        <v>1502</v>
      </c>
      <c r="C47" s="87" t="s">
        <v>56</v>
      </c>
      <c r="D47" s="85" t="s">
        <v>794</v>
      </c>
      <c r="E47" s="13" t="str">
        <f>HYPERLINK("https://youtu.be/fAVNl_m1hY0","channel 1")</f>
        <v>channel 1</v>
      </c>
    </row>
    <row r="48">
      <c r="B48" s="79" t="s">
        <v>641</v>
      </c>
      <c r="C48" s="87" t="s">
        <v>628</v>
      </c>
      <c r="D48" s="28" t="s">
        <v>644</v>
      </c>
      <c r="E48" s="66" t="str">
        <f>HYPERLINK("https://youtu.be/GPJKPbf1FOY","channel 2")</f>
        <v>channel 2</v>
      </c>
    </row>
    <row r="49">
      <c r="B49" s="79" t="s">
        <v>988</v>
      </c>
      <c r="C49" s="73" t="s">
        <v>49</v>
      </c>
      <c r="D49" s="86" t="s">
        <v>1502</v>
      </c>
      <c r="E49" s="13" t="str">
        <f>HYPERLINK("https://youtu.be/N9Ontjrdsk0","channel 1")</f>
        <v>channel 1</v>
      </c>
    </row>
    <row r="50">
      <c r="B50" s="79" t="s">
        <v>641</v>
      </c>
      <c r="C50" s="73" t="s">
        <v>156</v>
      </c>
      <c r="D50" s="86" t="s">
        <v>794</v>
      </c>
      <c r="E50" s="66" t="str">
        <f>HYPERLINK("https://youtu.be/W0ed1YKf0kM","channel 2")</f>
        <v>channel 2</v>
      </c>
    </row>
    <row r="51">
      <c r="B51" s="79" t="s">
        <v>988</v>
      </c>
      <c r="C51" s="87" t="s">
        <v>89</v>
      </c>
      <c r="D51" s="86" t="s">
        <v>644</v>
      </c>
      <c r="E51" s="13" t="str">
        <f>HYPERLINK("https://youtu.be/GgAUp-7HlMk","channel 1")</f>
        <v>channel 1</v>
      </c>
    </row>
    <row r="52">
      <c r="B52" s="79" t="s">
        <v>641</v>
      </c>
      <c r="C52" s="12" t="s">
        <v>821</v>
      </c>
      <c r="D52" s="86" t="s">
        <v>1502</v>
      </c>
      <c r="E52" s="66" t="str">
        <f>HYPERLINK("https://youtu.be/QG9j_8hTWPE","channel 2")</f>
        <v>channel 2</v>
      </c>
    </row>
    <row r="53">
      <c r="B53" s="79" t="s">
        <v>988</v>
      </c>
      <c r="C53" s="73" t="s">
        <v>180</v>
      </c>
      <c r="D53" s="86" t="s">
        <v>794</v>
      </c>
      <c r="E53" s="13" t="str">
        <f>HYPERLINK("https://youtu.be/EDPyTwJJmjY","channel 1")</f>
        <v>channel 1</v>
      </c>
    </row>
    <row r="54">
      <c r="B54" s="79" t="s">
        <v>644</v>
      </c>
      <c r="C54" s="73" t="s">
        <v>106</v>
      </c>
      <c r="D54" s="86" t="s">
        <v>1502</v>
      </c>
      <c r="E54" s="66" t="str">
        <f>HYPERLINK("https://youtu.be/IjjEo3efDow","channel 2")</f>
        <v>channel 2</v>
      </c>
    </row>
    <row r="55">
      <c r="B55" s="79" t="s">
        <v>988</v>
      </c>
      <c r="C55" s="73" t="s">
        <v>18</v>
      </c>
      <c r="D55" s="86" t="s">
        <v>641</v>
      </c>
      <c r="E55" s="13" t="str">
        <f>HYPERLINK("https://youtu.be/OnuBQII_rhE","channel 1")</f>
        <v>channel 1</v>
      </c>
    </row>
    <row r="56">
      <c r="B56" s="79" t="s">
        <v>644</v>
      </c>
      <c r="C56" s="73" t="s">
        <v>111</v>
      </c>
      <c r="D56" s="86" t="s">
        <v>794</v>
      </c>
      <c r="E56" s="66" t="str">
        <f>HYPERLINK("https://youtu.be/BaKNuwMsRFU","channel 2")</f>
        <v>channel 2</v>
      </c>
    </row>
    <row r="57">
      <c r="B57" s="79" t="s">
        <v>794</v>
      </c>
      <c r="C57" s="73" t="s">
        <v>1636</v>
      </c>
      <c r="D57" s="86" t="s">
        <v>1502</v>
      </c>
      <c r="E57" s="13" t="str">
        <f>HYPERLINK("https://youtu.be/97plAsRkHso","channel 1")</f>
        <v>channel 1</v>
      </c>
    </row>
    <row r="58">
      <c r="B58" s="79" t="s">
        <v>644</v>
      </c>
      <c r="C58" s="73" t="s">
        <v>56</v>
      </c>
      <c r="D58" s="86" t="s">
        <v>641</v>
      </c>
      <c r="E58" s="66" t="str">
        <f>HYPERLINK("https://youtu.be/_iUhAcdGGwo","channel 2")</f>
        <v>channel 2</v>
      </c>
    </row>
    <row r="59">
      <c r="B59" s="79" t="s">
        <v>1502</v>
      </c>
      <c r="C59" s="75" t="s">
        <v>110</v>
      </c>
      <c r="D59" s="86" t="s">
        <v>988</v>
      </c>
      <c r="E59" s="13" t="str">
        <f>HYPERLINK("https://youtu.be/K5wBl3a1me4","channel 1")</f>
        <v>channel 1</v>
      </c>
    </row>
    <row r="60">
      <c r="B60" s="79" t="s">
        <v>794</v>
      </c>
      <c r="C60" s="75" t="s">
        <v>1778</v>
      </c>
      <c r="D60" s="86" t="s">
        <v>641</v>
      </c>
      <c r="E60" s="66" t="str">
        <f>HYPERLINK("https://youtu.be/GnzAiXMN2hw","channel 2")</f>
        <v>channel 2</v>
      </c>
    </row>
    <row r="61">
      <c r="B61" s="79" t="s">
        <v>644</v>
      </c>
      <c r="C61" s="75" t="s">
        <v>37</v>
      </c>
      <c r="D61" s="86" t="s">
        <v>988</v>
      </c>
      <c r="E61" s="13" t="str">
        <f>HYPERLINK("https://youtu.be/HHkT74cVsXM","channel 1")</f>
        <v>channel 1</v>
      </c>
    </row>
    <row r="62">
      <c r="B62" s="79" t="s">
        <v>1502</v>
      </c>
      <c r="C62" s="75" t="s">
        <v>722</v>
      </c>
      <c r="D62" s="86" t="s">
        <v>641</v>
      </c>
      <c r="E62" s="66" t="str">
        <f>HYPERLINK("https://youtu.be/7LQdqWkD7_U","channel 2")</f>
        <v>channel 2</v>
      </c>
    </row>
    <row r="63">
      <c r="B63" s="79" t="s">
        <v>794</v>
      </c>
      <c r="C63" s="73" t="s">
        <v>59</v>
      </c>
      <c r="D63" s="86" t="s">
        <v>988</v>
      </c>
      <c r="E63" s="13" t="str">
        <f>HYPERLINK("https://youtu.be/hhfuT0ZSMFs","channel 1")</f>
        <v>channel 1</v>
      </c>
    </row>
    <row r="64">
      <c r="B64" s="79" t="s">
        <v>1502</v>
      </c>
      <c r="C64" s="73" t="s">
        <v>214</v>
      </c>
      <c r="D64" s="86" t="s">
        <v>644</v>
      </c>
      <c r="E64" s="66" t="str">
        <f>HYPERLINK("https://youtu.be/OQOEeaS2z8A","channel 2")</f>
        <v>channel 2</v>
      </c>
    </row>
    <row r="65">
      <c r="B65" s="79" t="s">
        <v>641</v>
      </c>
      <c r="C65" s="75" t="s">
        <v>160</v>
      </c>
      <c r="D65" s="86" t="s">
        <v>988</v>
      </c>
      <c r="E65" s="13" t="str">
        <f>HYPERLINK("https://youtu.be/hYK-qD7ULAw","channel 1")</f>
        <v>channel 1</v>
      </c>
    </row>
    <row r="66">
      <c r="B66" s="79" t="s">
        <v>794</v>
      </c>
      <c r="C66" s="75" t="s">
        <v>104</v>
      </c>
      <c r="D66" s="86" t="s">
        <v>644</v>
      </c>
      <c r="E66" s="66" t="str">
        <f>HYPERLINK("https://youtu.be/Qhlju5hzuqk","channel 2")</f>
        <v>channel 2</v>
      </c>
    </row>
    <row r="67">
      <c r="B67" s="58" t="s">
        <v>1782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28" t="s">
        <v>1010</v>
      </c>
      <c r="C69" s="70" t="s">
        <v>458</v>
      </c>
      <c r="D69" s="85" t="s">
        <v>1205</v>
      </c>
      <c r="E69" s="13" t="str">
        <f>HYPERLINK("https://youtu.be/DdaTJK4wfIg","channel 1")</f>
        <v>channel 1</v>
      </c>
    </row>
    <row r="70">
      <c r="B70" s="79" t="s">
        <v>1783</v>
      </c>
      <c r="C70" s="73" t="s">
        <v>1563</v>
      </c>
      <c r="D70" s="86" t="s">
        <v>1784</v>
      </c>
      <c r="E70" s="66" t="str">
        <f>HYPERLINK("https://youtu.be/mLw7r04UPrY","channel 2")</f>
        <v>channel 2</v>
      </c>
    </row>
    <row r="71">
      <c r="B71" s="79" t="s">
        <v>1785</v>
      </c>
      <c r="C71" s="73" t="s">
        <v>458</v>
      </c>
      <c r="D71" s="86" t="s">
        <v>1010</v>
      </c>
      <c r="E71" s="13" t="str">
        <f>HYPERLINK("https://youtu.be/MYs-ndQsibo","channel 1")</f>
        <v>channel 1</v>
      </c>
    </row>
    <row r="72">
      <c r="B72" s="79" t="s">
        <v>1783</v>
      </c>
      <c r="C72" s="73" t="s">
        <v>278</v>
      </c>
      <c r="D72" s="86" t="s">
        <v>1205</v>
      </c>
      <c r="E72" s="66" t="str">
        <f>HYPERLINK("https://youtu.be/w4voUeTpV6Q","channel 2")</f>
        <v>channel 2</v>
      </c>
    </row>
    <row r="73">
      <c r="B73" s="79" t="s">
        <v>1785</v>
      </c>
      <c r="C73" s="73" t="s">
        <v>138</v>
      </c>
      <c r="D73" s="86" t="s">
        <v>1784</v>
      </c>
      <c r="E73" s="13" t="str">
        <f>HYPERLINK("https://youtu.be/pDa2L-1yyj0","channel 1")</f>
        <v>channel 1</v>
      </c>
    </row>
    <row r="74">
      <c r="B74" s="79" t="s">
        <v>1783</v>
      </c>
      <c r="C74" s="73" t="s">
        <v>89</v>
      </c>
      <c r="D74" s="86" t="s">
        <v>1010</v>
      </c>
      <c r="E74" s="66" t="str">
        <f>HYPERLINK("https://youtu.be/Z56z4b8QhO0","channel 2")</f>
        <v>channel 2</v>
      </c>
    </row>
    <row r="75">
      <c r="B75" s="79" t="s">
        <v>1785</v>
      </c>
      <c r="C75" s="73" t="s">
        <v>32</v>
      </c>
      <c r="D75" s="86" t="s">
        <v>1205</v>
      </c>
      <c r="E75" s="13" t="str">
        <f>HYPERLINK("https://youtu.be/DMdtiTSRtBQ","channel 1")</f>
        <v>channel 1</v>
      </c>
    </row>
    <row r="76">
      <c r="B76" s="79" t="s">
        <v>1784</v>
      </c>
      <c r="C76" s="73" t="s">
        <v>538</v>
      </c>
      <c r="D76" s="86" t="s">
        <v>1010</v>
      </c>
      <c r="E76" s="66" t="str">
        <f>HYPERLINK("https://youtu.be/EQxLQOpCdgw","channel 2")</f>
        <v>channel 2</v>
      </c>
    </row>
    <row r="77">
      <c r="B77" s="79" t="s">
        <v>1785</v>
      </c>
      <c r="C77" s="73" t="s">
        <v>99</v>
      </c>
      <c r="D77" s="86" t="s">
        <v>1783</v>
      </c>
      <c r="E77" s="13" t="str">
        <f>HYPERLINK("https://youtu.be/M8lqGkdMecE","channel 1")</f>
        <v>channel 1</v>
      </c>
    </row>
    <row r="78">
      <c r="B78" s="79" t="s">
        <v>1784</v>
      </c>
      <c r="C78" s="73" t="s">
        <v>216</v>
      </c>
      <c r="D78" s="86" t="s">
        <v>1205</v>
      </c>
      <c r="E78" s="66" t="str">
        <f>HYPERLINK("https://youtu.be/suDCy_mJlaI","channel 2")</f>
        <v>channel 2</v>
      </c>
    </row>
    <row r="79">
      <c r="B79" s="79" t="s">
        <v>1205</v>
      </c>
      <c r="C79" s="73" t="s">
        <v>148</v>
      </c>
      <c r="D79" s="86" t="s">
        <v>1010</v>
      </c>
      <c r="E79" s="13" t="str">
        <f>HYPERLINK("https://youtu.be/alXAdversbc","channel 1")</f>
        <v>channel 1</v>
      </c>
    </row>
    <row r="80">
      <c r="B80" s="79" t="s">
        <v>1784</v>
      </c>
      <c r="C80" s="73" t="s">
        <v>156</v>
      </c>
      <c r="D80" s="86" t="s">
        <v>1783</v>
      </c>
      <c r="E80" s="66" t="str">
        <f>HYPERLINK("https://youtu.be/rpqCy_zmUQI","channel 2")</f>
        <v>channel 2</v>
      </c>
    </row>
    <row r="81">
      <c r="B81" s="79" t="s">
        <v>1010</v>
      </c>
      <c r="C81" s="75" t="s">
        <v>103</v>
      </c>
      <c r="D81" s="86" t="s">
        <v>1785</v>
      </c>
      <c r="E81" s="13" t="str">
        <f>HYPERLINK("https://youtu.be/d7TJTwUNrlU","channel 1")</f>
        <v>channel 1</v>
      </c>
    </row>
    <row r="82">
      <c r="B82" s="79" t="s">
        <v>1205</v>
      </c>
      <c r="C82" s="75" t="s">
        <v>493</v>
      </c>
      <c r="D82" s="86" t="s">
        <v>1783</v>
      </c>
      <c r="E82" s="66" t="str">
        <f>HYPERLINK("https://youtu.be/lsvlJA8erb0","channel 2")</f>
        <v>channel 2</v>
      </c>
    </row>
    <row r="83">
      <c r="B83" s="79" t="s">
        <v>1784</v>
      </c>
      <c r="C83" s="75" t="s">
        <v>11</v>
      </c>
      <c r="D83" s="86" t="s">
        <v>1785</v>
      </c>
      <c r="E83" s="13" t="str">
        <f>HYPERLINK("https://youtu.be/inXIhwt33oI","channel 1")</f>
        <v>channel 1</v>
      </c>
    </row>
    <row r="84">
      <c r="B84" s="79" t="s">
        <v>1010</v>
      </c>
      <c r="C84" s="75" t="s">
        <v>1578</v>
      </c>
      <c r="D84" s="86" t="s">
        <v>1783</v>
      </c>
      <c r="E84" s="66" t="str">
        <f>HYPERLINK("https://youtu.be/bQ6NQ6tptHA","channel 2")</f>
        <v>channel 2</v>
      </c>
    </row>
    <row r="85">
      <c r="B85" s="79" t="s">
        <v>1205</v>
      </c>
      <c r="C85" s="73" t="s">
        <v>328</v>
      </c>
      <c r="D85" s="86" t="s">
        <v>1785</v>
      </c>
      <c r="E85" s="13" t="str">
        <f>HYPERLINK("https://youtu.be/sKIUJeHoCOQ","channel 1")</f>
        <v>channel 1</v>
      </c>
    </row>
    <row r="86">
      <c r="B86" s="79" t="s">
        <v>1010</v>
      </c>
      <c r="C86" s="73" t="s">
        <v>77</v>
      </c>
      <c r="D86" s="86" t="s">
        <v>1784</v>
      </c>
      <c r="E86" s="66" t="str">
        <f>HYPERLINK("https://youtu.be/4kD50gJiQnI","channel 2")</f>
        <v>channel 2</v>
      </c>
    </row>
    <row r="87">
      <c r="B87" s="79" t="s">
        <v>1783</v>
      </c>
      <c r="C87" s="75" t="s">
        <v>97</v>
      </c>
      <c r="D87" s="86" t="s">
        <v>1785</v>
      </c>
      <c r="E87" s="13" t="str">
        <f>HYPERLINK("https://youtu.be/3aWrmJVDUWc","channel 1")</f>
        <v>channel 1</v>
      </c>
    </row>
    <row r="88">
      <c r="B88" s="79" t="s">
        <v>1205</v>
      </c>
      <c r="C88" s="75" t="s">
        <v>108</v>
      </c>
      <c r="D88" s="86" t="s">
        <v>1784</v>
      </c>
      <c r="E88" s="66" t="str">
        <f>HYPERLINK("https://youtu.be/qQ2rh4lrNvM","channel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1764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1765</v>
      </c>
      <c r="C3" s="70" t="s">
        <v>350</v>
      </c>
      <c r="D3" s="71" t="s">
        <v>1766</v>
      </c>
      <c r="E3" s="13" t="str">
        <f>HYPERLINK("https://youtu.be/1f5daLFh2Og","channel 1")</f>
        <v>channel 1</v>
      </c>
    </row>
    <row r="4">
      <c r="B4" s="72" t="s">
        <v>1767</v>
      </c>
      <c r="C4" s="73" t="s">
        <v>1768</v>
      </c>
      <c r="D4" s="74" t="s">
        <v>1769</v>
      </c>
      <c r="E4" s="66" t="str">
        <f>HYPERLINK("https://youtu.be/iVadRdpDPnM","channel 2")</f>
        <v>channel 2</v>
      </c>
    </row>
    <row r="5">
      <c r="B5" s="72" t="s">
        <v>1771</v>
      </c>
      <c r="C5" s="73" t="s">
        <v>204</v>
      </c>
      <c r="D5" s="74" t="s">
        <v>1765</v>
      </c>
      <c r="E5" s="13" t="str">
        <f>HYPERLINK("https://youtu.be/-GC1lIeMPUo","channel 1")</f>
        <v>channel 1</v>
      </c>
    </row>
    <row r="6">
      <c r="B6" s="72" t="s">
        <v>1767</v>
      </c>
      <c r="C6" s="73" t="s">
        <v>145</v>
      </c>
      <c r="D6" s="74" t="s">
        <v>1766</v>
      </c>
      <c r="E6" s="66" t="str">
        <f>HYPERLINK("https://youtu.be/TbpsaZLvlD4","channel 2")</f>
        <v>channel 2</v>
      </c>
    </row>
    <row r="7">
      <c r="B7" s="72" t="s">
        <v>1771</v>
      </c>
      <c r="C7" s="73" t="s">
        <v>135</v>
      </c>
      <c r="D7" s="74" t="s">
        <v>1769</v>
      </c>
      <c r="E7" s="13" t="str">
        <f>HYPERLINK("https://youtu.be/mpIkC5RVu5g","channel 1")</f>
        <v>channel 1</v>
      </c>
    </row>
    <row r="8">
      <c r="B8" s="72" t="s">
        <v>1767</v>
      </c>
      <c r="C8" s="73" t="s">
        <v>109</v>
      </c>
      <c r="D8" s="74" t="s">
        <v>1765</v>
      </c>
      <c r="E8" s="66" t="str">
        <f>HYPERLINK("https://youtu.be/2BSlxZYt7ak","channel 2")</f>
        <v>channel 2</v>
      </c>
    </row>
    <row r="9">
      <c r="B9" s="72" t="s">
        <v>1771</v>
      </c>
      <c r="C9" s="73" t="s">
        <v>109</v>
      </c>
      <c r="D9" s="74" t="s">
        <v>1766</v>
      </c>
      <c r="E9" s="13" t="str">
        <f>HYPERLINK("https://youtu.be/g5vecmWwRlM","channel 1")</f>
        <v>channel 1</v>
      </c>
    </row>
    <row r="10">
      <c r="B10" s="72" t="s">
        <v>1769</v>
      </c>
      <c r="C10" s="73" t="s">
        <v>135</v>
      </c>
      <c r="D10" s="74" t="s">
        <v>1765</v>
      </c>
      <c r="E10" s="66" t="str">
        <f>HYPERLINK("https://youtu.be/dchCR4yd51s","channel 2")</f>
        <v>channel 2</v>
      </c>
    </row>
    <row r="11">
      <c r="B11" s="72" t="s">
        <v>1771</v>
      </c>
      <c r="C11" s="73" t="s">
        <v>337</v>
      </c>
      <c r="D11" s="74" t="s">
        <v>1767</v>
      </c>
      <c r="E11" s="13" t="str">
        <f>HYPERLINK("https://youtu.be/31ZRjofTMCg","channel 1")</f>
        <v>channel 1</v>
      </c>
    </row>
    <row r="12">
      <c r="B12" s="72" t="s">
        <v>1769</v>
      </c>
      <c r="C12" s="73" t="s">
        <v>32</v>
      </c>
      <c r="D12" s="74" t="s">
        <v>1766</v>
      </c>
      <c r="E12" s="66" t="str">
        <f>HYPERLINK("https://youtu.be/pp0mZgy24bc","channel 2")</f>
        <v>channel 2</v>
      </c>
    </row>
    <row r="13">
      <c r="B13" s="72" t="s">
        <v>1766</v>
      </c>
      <c r="C13" s="73" t="s">
        <v>311</v>
      </c>
      <c r="D13" s="74" t="s">
        <v>1765</v>
      </c>
      <c r="E13" s="13" t="str">
        <f>HYPERLINK("https://youtu.be/Xp-JRqA7jGI","channel 1")</f>
        <v>channel 1</v>
      </c>
    </row>
    <row r="14">
      <c r="B14" s="72" t="s">
        <v>1769</v>
      </c>
      <c r="C14" s="73" t="s">
        <v>18</v>
      </c>
      <c r="D14" s="74" t="s">
        <v>1767</v>
      </c>
      <c r="E14" s="66" t="str">
        <f>HYPERLINK("https://youtu.be/6fWndjU4sXI","channel 2")</f>
        <v>channel 2</v>
      </c>
    </row>
    <row r="15">
      <c r="B15" s="72" t="s">
        <v>1765</v>
      </c>
      <c r="C15" s="75" t="s">
        <v>470</v>
      </c>
      <c r="D15" s="74" t="s">
        <v>1771</v>
      </c>
      <c r="E15" s="13" t="str">
        <f>HYPERLINK("https://youtu.be/2bHzhKGVTs4","channel 1")</f>
        <v>channel 1</v>
      </c>
      <c r="G15" s="47"/>
      <c r="H15" s="56"/>
      <c r="I15" s="47"/>
    </row>
    <row r="16">
      <c r="B16" s="72" t="s">
        <v>1766</v>
      </c>
      <c r="C16" s="75" t="s">
        <v>49</v>
      </c>
      <c r="D16" s="74" t="s">
        <v>1767</v>
      </c>
      <c r="E16" s="66" t="str">
        <f>HYPERLINK("https://youtu.be/mvHQPdhH0aY","channel 2")</f>
        <v>channel 2</v>
      </c>
      <c r="G16" s="47"/>
      <c r="H16" s="56"/>
      <c r="I16" s="47"/>
    </row>
    <row r="17">
      <c r="B17" s="72" t="s">
        <v>1769</v>
      </c>
      <c r="C17" s="75" t="s">
        <v>10</v>
      </c>
      <c r="D17" s="74" t="s">
        <v>1771</v>
      </c>
      <c r="E17" s="13" t="str">
        <f>HYPERLINK("https://youtu.be/Eg0nCEnq4is","channel 1")</f>
        <v>channel 1</v>
      </c>
    </row>
    <row r="18">
      <c r="B18" s="72" t="s">
        <v>1765</v>
      </c>
      <c r="C18" s="75" t="s">
        <v>141</v>
      </c>
      <c r="D18" s="74" t="s">
        <v>1767</v>
      </c>
      <c r="E18" s="66" t="str">
        <f>HYPERLINK("https://youtu.be/_R7Vz0ODkdo","channel 2")</f>
        <v>channel 2</v>
      </c>
    </row>
    <row r="19">
      <c r="B19" s="72" t="s">
        <v>1766</v>
      </c>
      <c r="C19" s="73" t="s">
        <v>85</v>
      </c>
      <c r="D19" s="74" t="s">
        <v>1771</v>
      </c>
      <c r="E19" s="13" t="str">
        <f>HYPERLINK("https://youtu.be/Ih_hgV4h9YU","channel 1")</f>
        <v>channel 1</v>
      </c>
    </row>
    <row r="20">
      <c r="B20" s="72" t="s">
        <v>1765</v>
      </c>
      <c r="C20" s="73" t="s">
        <v>148</v>
      </c>
      <c r="D20" s="74" t="s">
        <v>1769</v>
      </c>
      <c r="E20" s="66" t="str">
        <f>HYPERLINK("https://youtu.be/FtKrq2fZqM0","channel 2")</f>
        <v>channel 2</v>
      </c>
    </row>
    <row r="21">
      <c r="B21" s="72" t="s">
        <v>1767</v>
      </c>
      <c r="C21" s="75" t="s">
        <v>157</v>
      </c>
      <c r="D21" s="74" t="s">
        <v>1771</v>
      </c>
      <c r="E21" s="13" t="str">
        <f>HYPERLINK("https://youtu.be/IxKEt09fZoE","channel 1")</f>
        <v>channel 1</v>
      </c>
    </row>
    <row r="22">
      <c r="B22" s="72" t="s">
        <v>1766</v>
      </c>
      <c r="C22" s="75" t="s">
        <v>34</v>
      </c>
      <c r="D22" s="74" t="s">
        <v>1769</v>
      </c>
      <c r="E22" s="66" t="str">
        <f>HYPERLINK("https://youtu.be/gWBhcJ9u7_8","channel 2")</f>
        <v>channel 2</v>
      </c>
    </row>
    <row r="23">
      <c r="B23" s="2" t="s">
        <v>1774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1311</v>
      </c>
      <c r="C25" s="70" t="s">
        <v>141</v>
      </c>
      <c r="D25" s="71" t="s">
        <v>1483</v>
      </c>
      <c r="E25" s="13" t="str">
        <f>HYPERLINK("https://youtu.be/Ij-HWsd3Dk0","channel 1")</f>
        <v>channel 1</v>
      </c>
    </row>
    <row r="26">
      <c r="B26" s="72" t="s">
        <v>1775</v>
      </c>
      <c r="C26" s="73" t="s">
        <v>37</v>
      </c>
      <c r="D26" s="74" t="s">
        <v>1661</v>
      </c>
      <c r="E26" s="66" t="str">
        <f>HYPERLINK("https://youtu.be/j84l9_uRfvQ","channel 2")</f>
        <v>channel 2</v>
      </c>
    </row>
    <row r="27">
      <c r="B27" s="72" t="s">
        <v>302</v>
      </c>
      <c r="C27" s="73" t="s">
        <v>27</v>
      </c>
      <c r="D27" s="74" t="s">
        <v>1311</v>
      </c>
      <c r="E27" s="13" t="str">
        <f>HYPERLINK("https://youtu.be/RYRxnMvflfc","channel 1")</f>
        <v>channel 1</v>
      </c>
    </row>
    <row r="28">
      <c r="B28" s="72" t="s">
        <v>1775</v>
      </c>
      <c r="C28" s="73" t="s">
        <v>157</v>
      </c>
      <c r="D28" s="74" t="s">
        <v>1483</v>
      </c>
      <c r="E28" s="66" t="str">
        <f>HYPERLINK("https://youtu.be/tlg2QoHE1gI","channel 2")</f>
        <v>channel 2</v>
      </c>
    </row>
    <row r="29">
      <c r="B29" s="72" t="s">
        <v>302</v>
      </c>
      <c r="C29" s="73" t="s">
        <v>145</v>
      </c>
      <c r="D29" s="74" t="s">
        <v>1661</v>
      </c>
      <c r="E29" s="13" t="str">
        <f>HYPERLINK("https://youtu.be/Gl59nAGly1U","channel 1")</f>
        <v>channel 1</v>
      </c>
    </row>
    <row r="30">
      <c r="B30" s="72" t="s">
        <v>1775</v>
      </c>
      <c r="C30" s="73" t="s">
        <v>223</v>
      </c>
      <c r="D30" s="74" t="s">
        <v>1311</v>
      </c>
      <c r="E30" s="66" t="str">
        <f>HYPERLINK("https://youtu.be/zlWpBD36ntM","channel 2")</f>
        <v>channel 2</v>
      </c>
    </row>
    <row r="31">
      <c r="B31" s="72" t="s">
        <v>302</v>
      </c>
      <c r="C31" s="73" t="s">
        <v>322</v>
      </c>
      <c r="D31" s="74" t="s">
        <v>1483</v>
      </c>
      <c r="E31" s="13" t="str">
        <f>HYPERLINK("https://youtu.be/TrvKPs94HHY","channel 1")</f>
        <v>channel 1</v>
      </c>
    </row>
    <row r="32">
      <c r="B32" s="72" t="s">
        <v>1661</v>
      </c>
      <c r="C32" s="73" t="s">
        <v>156</v>
      </c>
      <c r="D32" s="74" t="s">
        <v>1311</v>
      </c>
      <c r="E32" s="66" t="str">
        <f>HYPERLINK("https://youtu.be/vG0f-kkEIik","channel 2")</f>
        <v>channel 2</v>
      </c>
    </row>
    <row r="33">
      <c r="B33" s="72" t="s">
        <v>302</v>
      </c>
      <c r="C33" s="73" t="s">
        <v>218</v>
      </c>
      <c r="D33" s="74" t="s">
        <v>1775</v>
      </c>
      <c r="E33" s="13" t="str">
        <f>HYPERLINK("https://youtu.be/Qeiq-spgF7E","channel 1")</f>
        <v>channel 1</v>
      </c>
    </row>
    <row r="34">
      <c r="B34" s="72" t="s">
        <v>1661</v>
      </c>
      <c r="C34" s="73" t="s">
        <v>384</v>
      </c>
      <c r="D34" s="74" t="s">
        <v>1483</v>
      </c>
      <c r="E34" s="66" t="str">
        <f>HYPERLINK("https://youtu.be/9iTAhXgwpZ0","channel 2")</f>
        <v>channel 2</v>
      </c>
    </row>
    <row r="35">
      <c r="B35" s="72" t="s">
        <v>1483</v>
      </c>
      <c r="C35" s="73" t="s">
        <v>47</v>
      </c>
      <c r="D35" s="74" t="s">
        <v>1311</v>
      </c>
      <c r="E35" s="13" t="str">
        <f>HYPERLINK("https://youtu.be/J3Bh-gux2kg","channel 1")</f>
        <v>channel 1</v>
      </c>
    </row>
    <row r="36">
      <c r="B36" s="72" t="s">
        <v>1661</v>
      </c>
      <c r="C36" s="73" t="s">
        <v>35</v>
      </c>
      <c r="D36" s="74" t="s">
        <v>1775</v>
      </c>
      <c r="E36" s="66" t="str">
        <f>HYPERLINK("https://youtu.be/DH0v7FQQFG4","channel 2")</f>
        <v>channel 2</v>
      </c>
    </row>
    <row r="37">
      <c r="B37" s="72" t="s">
        <v>1311</v>
      </c>
      <c r="C37" s="75" t="s">
        <v>1470</v>
      </c>
      <c r="D37" s="74" t="s">
        <v>302</v>
      </c>
      <c r="E37" s="13" t="str">
        <f>HYPERLINK("https://youtu.be/XKJR-AzTNFQ","channel 1")</f>
        <v>channel 1</v>
      </c>
    </row>
    <row r="38">
      <c r="B38" s="72" t="s">
        <v>1483</v>
      </c>
      <c r="C38" s="75" t="s">
        <v>117</v>
      </c>
      <c r="D38" s="74" t="s">
        <v>1775</v>
      </c>
      <c r="E38" s="66" t="str">
        <f>HYPERLINK("https://youtu.be/pQvf8rETfTw","channel 2")</f>
        <v>channel 2</v>
      </c>
    </row>
    <row r="39">
      <c r="B39" s="72" t="s">
        <v>1661</v>
      </c>
      <c r="C39" s="75" t="s">
        <v>577</v>
      </c>
      <c r="D39" s="74" t="s">
        <v>302</v>
      </c>
      <c r="E39" s="13" t="str">
        <f>HYPERLINK("https://youtu.be/VxItuv8zW4Q","channel 1")</f>
        <v>channel 1</v>
      </c>
    </row>
    <row r="40">
      <c r="B40" s="72" t="s">
        <v>1311</v>
      </c>
      <c r="C40" s="75" t="s">
        <v>521</v>
      </c>
      <c r="D40" s="74" t="s">
        <v>1775</v>
      </c>
      <c r="E40" s="66" t="str">
        <f>HYPERLINK("https://youtu.be/Qab5ApaIZbk","channel 2")</f>
        <v>channel 2</v>
      </c>
    </row>
    <row r="41">
      <c r="B41" s="72" t="s">
        <v>1483</v>
      </c>
      <c r="C41" s="73" t="s">
        <v>113</v>
      </c>
      <c r="D41" s="74" t="s">
        <v>302</v>
      </c>
      <c r="E41" s="13" t="str">
        <f>HYPERLINK("https://youtu.be/M4G2pu1hkdI","channel 1")</f>
        <v>channel 1</v>
      </c>
    </row>
    <row r="42">
      <c r="B42" s="72" t="s">
        <v>1311</v>
      </c>
      <c r="C42" s="73" t="s">
        <v>46</v>
      </c>
      <c r="D42" s="74" t="s">
        <v>1661</v>
      </c>
      <c r="E42" s="66" t="str">
        <f>HYPERLINK("https://youtu.be/iM6NlfkHp1w","channel 2")</f>
        <v>channel 2</v>
      </c>
    </row>
    <row r="43">
      <c r="B43" s="72" t="s">
        <v>1775</v>
      </c>
      <c r="C43" s="75" t="s">
        <v>97</v>
      </c>
      <c r="D43" s="74" t="s">
        <v>302</v>
      </c>
      <c r="E43" s="13" t="str">
        <f>HYPERLINK("https://youtu.be/34k2DhL_jpc","channel 1")</f>
        <v>channel 1</v>
      </c>
    </row>
    <row r="44">
      <c r="B44" s="72" t="s">
        <v>1483</v>
      </c>
      <c r="C44" s="75" t="s">
        <v>32</v>
      </c>
      <c r="D44" s="74" t="s">
        <v>1661</v>
      </c>
      <c r="E44" s="66" t="str">
        <f>HYPERLINK("https://youtu.be/F-fGf2m4f0Q","channel 2")</f>
        <v>channel 2</v>
      </c>
    </row>
    <row r="45">
      <c r="B45" s="58" t="s">
        <v>1777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1151</v>
      </c>
      <c r="C47" s="87" t="s">
        <v>47</v>
      </c>
      <c r="D47" s="71" t="s">
        <v>1779</v>
      </c>
      <c r="E47" s="13" t="str">
        <f>HYPERLINK("https://youtu.be/luppBKQDf-M","channel 1")</f>
        <v>channel 1</v>
      </c>
    </row>
    <row r="48">
      <c r="B48" s="10" t="s">
        <v>1780</v>
      </c>
      <c r="C48" s="87" t="s">
        <v>32</v>
      </c>
      <c r="D48" s="10" t="s">
        <v>1155</v>
      </c>
      <c r="E48" s="66" t="str">
        <f>HYPERLINK("https://youtu.be/jXtaexS3zkQ","channel 2")</f>
        <v>channel 2</v>
      </c>
    </row>
    <row r="49">
      <c r="B49" s="72" t="s">
        <v>1593</v>
      </c>
      <c r="C49" s="73" t="s">
        <v>375</v>
      </c>
      <c r="D49" s="74" t="s">
        <v>1151</v>
      </c>
      <c r="E49" s="13" t="str">
        <f>HYPERLINK("https://youtu.be/RjN4JUaVrwk","channel 1")</f>
        <v>channel 1</v>
      </c>
    </row>
    <row r="50">
      <c r="B50" s="72" t="s">
        <v>1780</v>
      </c>
      <c r="C50" s="73" t="s">
        <v>759</v>
      </c>
      <c r="D50" s="74" t="s">
        <v>1779</v>
      </c>
      <c r="E50" s="66" t="str">
        <f>HYPERLINK("https://youtu.be/1EcvKsTTcgg","channel 2")</f>
        <v>channel 2</v>
      </c>
    </row>
    <row r="51">
      <c r="B51" s="72" t="s">
        <v>1593</v>
      </c>
      <c r="C51" s="87" t="s">
        <v>10</v>
      </c>
      <c r="D51" s="74" t="s">
        <v>1155</v>
      </c>
      <c r="E51" s="13" t="str">
        <f>HYPERLINK("https://youtu.be/WyNzt2GOyHM","channel 1")</f>
        <v>channel 1</v>
      </c>
    </row>
    <row r="52">
      <c r="B52" s="72" t="s">
        <v>1780</v>
      </c>
      <c r="C52" s="12" t="s">
        <v>759</v>
      </c>
      <c r="D52" s="74" t="s">
        <v>1151</v>
      </c>
      <c r="E52" s="66" t="str">
        <f>HYPERLINK("https://youtu.be/GRdDfzc_YxE","channel 2")</f>
        <v>channel 2</v>
      </c>
    </row>
    <row r="53">
      <c r="B53" s="72" t="s">
        <v>1593</v>
      </c>
      <c r="C53" s="73" t="s">
        <v>90</v>
      </c>
      <c r="D53" s="74" t="s">
        <v>1779</v>
      </c>
      <c r="E53" s="13" t="str">
        <f>HYPERLINK("https://youtu.be/pOjV1MeqVZg","channel 1")</f>
        <v>channel 1</v>
      </c>
    </row>
    <row r="54">
      <c r="B54" s="72" t="s">
        <v>1155</v>
      </c>
      <c r="C54" s="73" t="s">
        <v>1781</v>
      </c>
      <c r="D54" s="74" t="s">
        <v>1151</v>
      </c>
      <c r="E54" s="66" t="str">
        <f>HYPERLINK("https://youtu.be/sl0Yo1VaaLc","channel 2")</f>
        <v>channel 2</v>
      </c>
    </row>
    <row r="55">
      <c r="B55" s="72" t="s">
        <v>1593</v>
      </c>
      <c r="C55" s="73" t="s">
        <v>101</v>
      </c>
      <c r="D55" s="74" t="s">
        <v>1780</v>
      </c>
      <c r="E55" s="13" t="str">
        <f>HYPERLINK("https://youtu.be/IqoY9RUBAl0","channel 1")</f>
        <v>channel 1</v>
      </c>
    </row>
    <row r="56">
      <c r="B56" s="72" t="s">
        <v>1155</v>
      </c>
      <c r="C56" s="73" t="s">
        <v>33</v>
      </c>
      <c r="D56" s="74" t="s">
        <v>1779</v>
      </c>
      <c r="E56" s="66" t="str">
        <f>HYPERLINK("https://youtu.be/hwOQ0oXhk5g","channel 2")</f>
        <v>channel 2</v>
      </c>
      <c r="F56" s="113"/>
    </row>
    <row r="57">
      <c r="B57" s="72" t="s">
        <v>1779</v>
      </c>
      <c r="C57" s="73" t="s">
        <v>108</v>
      </c>
      <c r="D57" s="74" t="s">
        <v>1151</v>
      </c>
      <c r="E57" s="13" t="str">
        <f>HYPERLINK("https://youtu.be/z6Bjcsd5y9A","channel 1")</f>
        <v>channel 1</v>
      </c>
      <c r="G57" s="114"/>
    </row>
    <row r="58">
      <c r="B58" s="72" t="s">
        <v>1155</v>
      </c>
      <c r="C58" s="73" t="s">
        <v>40</v>
      </c>
      <c r="D58" s="74" t="s">
        <v>1780</v>
      </c>
      <c r="E58" s="66" t="str">
        <f>HYPERLINK("https://youtu.be/ifgbraBOXFk","channel 2")</f>
        <v>channel 2</v>
      </c>
    </row>
    <row r="59">
      <c r="B59" s="72" t="s">
        <v>1151</v>
      </c>
      <c r="C59" s="75" t="s">
        <v>305</v>
      </c>
      <c r="D59" s="74" t="s">
        <v>1593</v>
      </c>
      <c r="E59" s="13" t="str">
        <f>HYPERLINK("https://youtu.be/soLZXoHvL6U","channel 1")</f>
        <v>channel 1</v>
      </c>
    </row>
    <row r="60">
      <c r="B60" s="72" t="s">
        <v>1779</v>
      </c>
      <c r="C60" s="75" t="s">
        <v>141</v>
      </c>
      <c r="D60" s="74" t="s">
        <v>1780</v>
      </c>
      <c r="E60" s="66" t="str">
        <f>HYPERLINK("https://youtu.be/NagYdjtTRmA","channel 2")</f>
        <v>channel 2</v>
      </c>
    </row>
    <row r="61">
      <c r="B61" s="72" t="s">
        <v>1155</v>
      </c>
      <c r="C61" s="75" t="s">
        <v>106</v>
      </c>
      <c r="D61" s="74" t="s">
        <v>1593</v>
      </c>
      <c r="E61" s="13" t="str">
        <f>HYPERLINK("https://youtu.be/tr4UpqRpCus","channel 1")</f>
        <v>channel 1</v>
      </c>
    </row>
    <row r="62">
      <c r="B62" s="72" t="s">
        <v>1151</v>
      </c>
      <c r="C62" s="75" t="s">
        <v>278</v>
      </c>
      <c r="D62" s="74" t="s">
        <v>1780</v>
      </c>
      <c r="E62" s="66" t="str">
        <f>HYPERLINK("https://youtu.be/FORi1yn_jcM","channel 2")</f>
        <v>channel 2</v>
      </c>
    </row>
    <row r="63">
      <c r="B63" s="72" t="s">
        <v>1779</v>
      </c>
      <c r="C63" s="73" t="s">
        <v>337</v>
      </c>
      <c r="D63" s="74" t="s">
        <v>1593</v>
      </c>
      <c r="E63" s="13" t="str">
        <f>HYPERLINK("https://youtu.be/B_Dm1f8VvVs","channel 1")</f>
        <v>channel 1</v>
      </c>
    </row>
    <row r="64">
      <c r="B64" s="72" t="s">
        <v>1151</v>
      </c>
      <c r="C64" s="73" t="s">
        <v>278</v>
      </c>
      <c r="D64" s="74" t="s">
        <v>1155</v>
      </c>
      <c r="E64" s="66" t="str">
        <f>HYPERLINK("https://youtu.be/EGBHx86GVgM","channel 2")</f>
        <v>channel 2</v>
      </c>
    </row>
    <row r="65">
      <c r="B65" s="72" t="s">
        <v>1780</v>
      </c>
      <c r="C65" s="75" t="s">
        <v>31</v>
      </c>
      <c r="D65" s="74" t="s">
        <v>1593</v>
      </c>
      <c r="E65" s="13" t="str">
        <f>HYPERLINK("https://youtu.be/BZgT25nXBYc","channel 1")</f>
        <v>channel 1</v>
      </c>
    </row>
    <row r="66">
      <c r="B66" s="72" t="s">
        <v>1779</v>
      </c>
      <c r="C66" s="75" t="s">
        <v>84</v>
      </c>
      <c r="D66" s="74" t="s">
        <v>1155</v>
      </c>
      <c r="E66" s="66" t="str">
        <f>HYPERLINK("https://youtu.be/3jYGFtW8QpI","channel 2")</f>
        <v>channel 2</v>
      </c>
    </row>
    <row r="67">
      <c r="B67" s="58" t="s">
        <v>1786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1530</v>
      </c>
      <c r="C69" s="70" t="s">
        <v>104</v>
      </c>
      <c r="D69" s="71" t="s">
        <v>1508</v>
      </c>
      <c r="E69" s="13" t="str">
        <f>HYPERLINK("https://youtu.be/F0qxXcBQk7g","channel 1")</f>
        <v>channel 1</v>
      </c>
    </row>
    <row r="70">
      <c r="B70" s="72" t="s">
        <v>1538</v>
      </c>
      <c r="C70" s="73" t="s">
        <v>85</v>
      </c>
      <c r="D70" s="74" t="s">
        <v>1787</v>
      </c>
      <c r="E70" s="66" t="str">
        <f>HYPERLINK("https://youtu.be/5uJosofkTHA","channel 2")</f>
        <v>channel 2</v>
      </c>
    </row>
    <row r="71">
      <c r="B71" s="72" t="s">
        <v>1788</v>
      </c>
      <c r="C71" s="73" t="s">
        <v>343</v>
      </c>
      <c r="D71" s="74" t="s">
        <v>1530</v>
      </c>
      <c r="E71" s="13" t="str">
        <f>HYPERLINK("https://youtu.be/gDSIQenyeeE","channel 1")</f>
        <v>channel 1</v>
      </c>
    </row>
    <row r="72">
      <c r="B72" s="72" t="s">
        <v>1538</v>
      </c>
      <c r="C72" s="73" t="s">
        <v>35</v>
      </c>
      <c r="D72" s="74" t="s">
        <v>1508</v>
      </c>
      <c r="E72" s="66" t="str">
        <f>HYPERLINK("https://youtu.be/MaE_ls1Yj5Y","channel 2")</f>
        <v>channel 2</v>
      </c>
    </row>
    <row r="73">
      <c r="B73" s="72" t="s">
        <v>1788</v>
      </c>
      <c r="C73" s="73" t="s">
        <v>508</v>
      </c>
      <c r="D73" s="74" t="s">
        <v>1787</v>
      </c>
      <c r="E73" s="13" t="str">
        <f>HYPERLINK("https://youtu.be/9tq_qG1jKtk","channel 1")</f>
        <v>channel 1</v>
      </c>
    </row>
    <row r="74">
      <c r="B74" s="72" t="s">
        <v>1538</v>
      </c>
      <c r="C74" s="73" t="s">
        <v>103</v>
      </c>
      <c r="D74" s="74" t="s">
        <v>1530</v>
      </c>
      <c r="E74" s="66" t="str">
        <f>HYPERLINK("https://youtu.be/2AkZCK5NAYE","channel 2")</f>
        <v>channel 2</v>
      </c>
    </row>
    <row r="75">
      <c r="B75" s="72" t="s">
        <v>1788</v>
      </c>
      <c r="C75" s="73" t="s">
        <v>338</v>
      </c>
      <c r="D75" s="74" t="s">
        <v>1508</v>
      </c>
      <c r="E75" s="13" t="str">
        <f>HYPERLINK("https://youtu.be/vvLkuoVwMXY","channel 1")</f>
        <v>channel 1</v>
      </c>
    </row>
    <row r="76">
      <c r="B76" s="72" t="s">
        <v>1787</v>
      </c>
      <c r="C76" s="73" t="s">
        <v>77</v>
      </c>
      <c r="D76" s="74" t="s">
        <v>1530</v>
      </c>
      <c r="E76" s="66" t="str">
        <f>HYPERLINK("https://youtu.be/gWmC1IV4bzM","channel 2")</f>
        <v>channel 2</v>
      </c>
    </row>
    <row r="77">
      <c r="B77" s="72" t="s">
        <v>1788</v>
      </c>
      <c r="C77" s="73" t="s">
        <v>318</v>
      </c>
      <c r="D77" s="74" t="s">
        <v>1538</v>
      </c>
      <c r="E77" s="13" t="str">
        <f>HYPERLINK("https://youtu.be/N0Qu5Fq1OQc","channel 1")</f>
        <v>channel 1</v>
      </c>
    </row>
    <row r="78">
      <c r="B78" s="72" t="s">
        <v>1787</v>
      </c>
      <c r="C78" s="73" t="s">
        <v>106</v>
      </c>
      <c r="D78" s="74" t="s">
        <v>1508</v>
      </c>
      <c r="E78" s="66" t="str">
        <f>HYPERLINK("https://youtu.be/u2VjmH3ujoA","channel 2")</f>
        <v>channel 2</v>
      </c>
    </row>
    <row r="79">
      <c r="B79" s="72" t="s">
        <v>1508</v>
      </c>
      <c r="C79" s="73" t="s">
        <v>108</v>
      </c>
      <c r="D79" s="74" t="s">
        <v>1530</v>
      </c>
      <c r="E79" s="13" t="str">
        <f>HYPERLINK("https://youtu.be/esDAr7LFT-0","channel 1")</f>
        <v>channel 1</v>
      </c>
    </row>
    <row r="80">
      <c r="B80" s="72" t="s">
        <v>1787</v>
      </c>
      <c r="C80" s="73" t="s">
        <v>93</v>
      </c>
      <c r="D80" s="74" t="s">
        <v>1538</v>
      </c>
      <c r="E80" s="66" t="str">
        <f>HYPERLINK("https://youtu.be/h53BNOzJOok","channel 2")</f>
        <v>channel 2</v>
      </c>
    </row>
    <row r="81">
      <c r="B81" s="72" t="s">
        <v>1530</v>
      </c>
      <c r="C81" s="75" t="s">
        <v>109</v>
      </c>
      <c r="D81" s="74" t="s">
        <v>1788</v>
      </c>
      <c r="E81" s="13" t="str">
        <f>HYPERLINK("https://youtu.be/dkZO6XXb4zY","channel 1")</f>
        <v>channel 1</v>
      </c>
    </row>
    <row r="82">
      <c r="B82" s="72" t="s">
        <v>1508</v>
      </c>
      <c r="C82" s="75" t="s">
        <v>59</v>
      </c>
      <c r="D82" s="74" t="s">
        <v>1538</v>
      </c>
      <c r="E82" s="66" t="str">
        <f>HYPERLINK("https://youtu.be/feSEAZQRgNY","channel 2")</f>
        <v>channel 2</v>
      </c>
    </row>
    <row r="83">
      <c r="B83" s="72" t="s">
        <v>1787</v>
      </c>
      <c r="C83" s="75" t="s">
        <v>54</v>
      </c>
      <c r="D83" s="74" t="s">
        <v>1788</v>
      </c>
      <c r="E83" s="13" t="str">
        <f>HYPERLINK("https://youtu.be/1de62IzzHbg","channel 1")</f>
        <v>channel 1</v>
      </c>
    </row>
    <row r="84">
      <c r="B84" s="72" t="s">
        <v>1530</v>
      </c>
      <c r="C84" s="75" t="s">
        <v>188</v>
      </c>
      <c r="D84" s="74" t="s">
        <v>1538</v>
      </c>
      <c r="E84" s="66" t="str">
        <f>HYPERLINK("https://youtu.be/QgSuowfXd3s","channel 2")</f>
        <v>channel 2</v>
      </c>
    </row>
    <row r="85">
      <c r="B85" s="72" t="s">
        <v>1508</v>
      </c>
      <c r="C85" s="73" t="s">
        <v>232</v>
      </c>
      <c r="D85" s="74" t="s">
        <v>1788</v>
      </c>
      <c r="E85" s="13" t="str">
        <f>HYPERLINK("https://youtu.be/9_94Hc15iPo","channel 1")</f>
        <v>channel 1</v>
      </c>
    </row>
    <row r="86">
      <c r="B86" s="72" t="s">
        <v>1530</v>
      </c>
      <c r="C86" s="73" t="s">
        <v>24</v>
      </c>
      <c r="D86" s="74" t="s">
        <v>1787</v>
      </c>
      <c r="E86" s="66" t="str">
        <f>HYPERLINK("https://youtu.be/yOa80UCyVmY","channel 2")</f>
        <v>channel 2</v>
      </c>
    </row>
    <row r="87">
      <c r="B87" s="72" t="s">
        <v>1538</v>
      </c>
      <c r="C87" s="75" t="s">
        <v>97</v>
      </c>
      <c r="D87" s="74" t="s">
        <v>1788</v>
      </c>
      <c r="E87" s="13" t="str">
        <f>HYPERLINK("https://youtu.be/xo1mvlruxGM","channel 1")</f>
        <v>channel 1</v>
      </c>
    </row>
    <row r="88">
      <c r="B88" s="72" t="s">
        <v>1508</v>
      </c>
      <c r="C88" s="75" t="s">
        <v>109</v>
      </c>
      <c r="D88" s="74" t="s">
        <v>1787</v>
      </c>
      <c r="E88" s="66" t="str">
        <f>HYPERLINK("https://youtu.be/xa7_pe5ggMs","channel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1789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833</v>
      </c>
      <c r="C3" s="70" t="s">
        <v>106</v>
      </c>
      <c r="D3" s="71" t="s">
        <v>856</v>
      </c>
      <c r="E3" s="13" t="str">
        <f>HYPERLINK("https://youtu.be/iJ1e16Zdjcg","channel 1")</f>
        <v>channel 1</v>
      </c>
    </row>
    <row r="4">
      <c r="B4" s="72" t="s">
        <v>351</v>
      </c>
      <c r="C4" s="73" t="s">
        <v>30</v>
      </c>
      <c r="D4" s="74" t="s">
        <v>565</v>
      </c>
      <c r="E4" s="66" t="str">
        <f>HYPERLINK("https://youtu.be/Ea_xEpmVEn0","channel 2")</f>
        <v>channel 2</v>
      </c>
    </row>
    <row r="5">
      <c r="B5" s="72" t="s">
        <v>1710</v>
      </c>
      <c r="C5" s="73" t="s">
        <v>257</v>
      </c>
      <c r="D5" s="74" t="s">
        <v>833</v>
      </c>
      <c r="E5" s="13" t="str">
        <f>HYPERLINK("https://youtu.be/A12OSERREHE","channel 1")</f>
        <v>channel 1</v>
      </c>
    </row>
    <row r="6">
      <c r="B6" s="72" t="s">
        <v>351</v>
      </c>
      <c r="C6" s="73" t="s">
        <v>1461</v>
      </c>
      <c r="D6" s="74" t="s">
        <v>856</v>
      </c>
      <c r="E6" s="66" t="str">
        <f>HYPERLINK("https://youtu.be/rTi4ZnjuM1g","channel 2")</f>
        <v>channel 2</v>
      </c>
    </row>
    <row r="7">
      <c r="B7" s="72" t="s">
        <v>1710</v>
      </c>
      <c r="C7" s="73" t="s">
        <v>99</v>
      </c>
      <c r="D7" s="74" t="s">
        <v>565</v>
      </c>
      <c r="E7" s="13" t="str">
        <f>HYPERLINK("https://youtu.be/PNPFU2xfnCM","channel 1")</f>
        <v>channel 1</v>
      </c>
    </row>
    <row r="8">
      <c r="B8" s="72" t="s">
        <v>351</v>
      </c>
      <c r="C8" s="73" t="s">
        <v>1636</v>
      </c>
      <c r="D8" s="74" t="s">
        <v>833</v>
      </c>
      <c r="E8" s="66" t="str">
        <f>HYPERLINK("https://youtu.be/q-mmXQkvMQw","channel 2")</f>
        <v>channel 2</v>
      </c>
    </row>
    <row r="9">
      <c r="B9" s="72" t="s">
        <v>1710</v>
      </c>
      <c r="C9" s="73" t="s">
        <v>311</v>
      </c>
      <c r="D9" s="74" t="s">
        <v>856</v>
      </c>
      <c r="E9" s="13" t="str">
        <f>HYPERLINK("https://youtu.be/rbJ5iU_G95k","channel 1")</f>
        <v>channel 1</v>
      </c>
    </row>
    <row r="10">
      <c r="B10" s="72" t="s">
        <v>565</v>
      </c>
      <c r="C10" s="73" t="s">
        <v>144</v>
      </c>
      <c r="D10" s="74" t="s">
        <v>833</v>
      </c>
      <c r="E10" s="66" t="str">
        <f>HYPERLINK("https://youtu.be/g-zWirlgGs0","channel 2")</f>
        <v>channel 2</v>
      </c>
    </row>
    <row r="11">
      <c r="B11" s="72" t="s">
        <v>1710</v>
      </c>
      <c r="C11" s="73" t="s">
        <v>24</v>
      </c>
      <c r="D11" s="74" t="s">
        <v>351</v>
      </c>
      <c r="E11" s="13" t="str">
        <f>HYPERLINK("https://youtu.be/RV7jdVseoYM","channel 1")</f>
        <v>channel 1</v>
      </c>
    </row>
    <row r="12">
      <c r="B12" s="72" t="s">
        <v>565</v>
      </c>
      <c r="C12" s="73" t="s">
        <v>20</v>
      </c>
      <c r="D12" s="74" t="s">
        <v>856</v>
      </c>
      <c r="E12" s="66" t="str">
        <f>HYPERLINK("https://youtu.be/QPJOvx_HGQ4","channel 2")</f>
        <v>channel 2</v>
      </c>
    </row>
    <row r="13">
      <c r="B13" s="72" t="s">
        <v>856</v>
      </c>
      <c r="C13" s="73" t="s">
        <v>214</v>
      </c>
      <c r="D13" s="74" t="s">
        <v>833</v>
      </c>
      <c r="E13" s="13" t="str">
        <f>HYPERLINK("https://youtu.be/BV2LnfmvUfM","channel 1")</f>
        <v>channel 1</v>
      </c>
    </row>
    <row r="14">
      <c r="B14" s="72" t="s">
        <v>565</v>
      </c>
      <c r="C14" s="73" t="s">
        <v>1790</v>
      </c>
      <c r="D14" s="74" t="s">
        <v>351</v>
      </c>
      <c r="E14" s="66" t="str">
        <f>HYPERLINK("https://youtu.be/bRKzOFWixAs","channel 2")</f>
        <v>channel 2</v>
      </c>
    </row>
    <row r="15">
      <c r="B15" s="72" t="s">
        <v>833</v>
      </c>
      <c r="C15" s="75" t="s">
        <v>36</v>
      </c>
      <c r="D15" s="74" t="s">
        <v>1710</v>
      </c>
      <c r="E15" s="13" t="str">
        <f>HYPERLINK("https://youtu.be/jkCs0yLAeTM","channel 1")</f>
        <v>channel 1</v>
      </c>
      <c r="G15" s="47"/>
      <c r="H15" s="56"/>
      <c r="I15" s="47"/>
    </row>
    <row r="16">
      <c r="B16" s="72" t="s">
        <v>856</v>
      </c>
      <c r="C16" s="75" t="s">
        <v>309</v>
      </c>
      <c r="D16" s="74" t="s">
        <v>351</v>
      </c>
      <c r="E16" s="66" t="str">
        <f>HYPERLINK("https://youtu.be/nL6_fo7Af2s","channel 2")</f>
        <v>channel 2</v>
      </c>
      <c r="G16" s="47"/>
      <c r="H16" s="56"/>
      <c r="I16" s="47"/>
    </row>
    <row r="17">
      <c r="B17" s="72" t="s">
        <v>565</v>
      </c>
      <c r="C17" s="75" t="s">
        <v>27</v>
      </c>
      <c r="D17" s="74" t="s">
        <v>1710</v>
      </c>
      <c r="E17" s="13" t="str">
        <f>HYPERLINK("https://youtu.be/DKgzkcU9d-I","channel 1")</f>
        <v>channel 1</v>
      </c>
    </row>
    <row r="18">
      <c r="B18" s="72" t="s">
        <v>833</v>
      </c>
      <c r="C18" s="75" t="s">
        <v>226</v>
      </c>
      <c r="D18" s="74" t="s">
        <v>351</v>
      </c>
      <c r="E18" s="66" t="str">
        <f>HYPERLINK("https://youtu.be/od6toYj5pF4","channel 2")</f>
        <v>channel 2</v>
      </c>
    </row>
    <row r="19">
      <c r="B19" s="72" t="s">
        <v>856</v>
      </c>
      <c r="C19" s="73" t="s">
        <v>77</v>
      </c>
      <c r="D19" s="74" t="s">
        <v>1710</v>
      </c>
      <c r="E19" s="13" t="str">
        <f>HYPERLINK("https://youtu.be/T22dZF5tuk0","channel 1")</f>
        <v>channel 1</v>
      </c>
    </row>
    <row r="20">
      <c r="B20" s="72" t="s">
        <v>833</v>
      </c>
      <c r="C20" s="73" t="s">
        <v>141</v>
      </c>
      <c r="D20" s="74" t="s">
        <v>565</v>
      </c>
      <c r="E20" s="66" t="str">
        <f>HYPERLINK("https://youtu.be/Fe-NvWyjjEI","channel 2")</f>
        <v>channel 2</v>
      </c>
    </row>
    <row r="21">
      <c r="B21" s="72" t="s">
        <v>351</v>
      </c>
      <c r="C21" s="75" t="s">
        <v>296</v>
      </c>
      <c r="D21" s="74" t="s">
        <v>1710</v>
      </c>
      <c r="E21" s="13" t="str">
        <f>HYPERLINK("https://youtu.be/lJXFSADR2Is","channel 1")</f>
        <v>channel 1</v>
      </c>
    </row>
    <row r="22">
      <c r="B22" s="72" t="s">
        <v>856</v>
      </c>
      <c r="C22" s="75" t="s">
        <v>46</v>
      </c>
      <c r="D22" s="74" t="s">
        <v>565</v>
      </c>
      <c r="E22" s="66" t="str">
        <f>HYPERLINK("https://youtu.be/PA0EhH7LtTg","channel 2")</f>
        <v>channel 2</v>
      </c>
    </row>
    <row r="23">
      <c r="B23" s="2" t="s">
        <v>1791</v>
      </c>
      <c r="C23" s="3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540</v>
      </c>
      <c r="C25" s="70" t="s">
        <v>59</v>
      </c>
      <c r="D25" s="71" t="s">
        <v>1591</v>
      </c>
      <c r="E25" s="13" t="str">
        <f>HYPERLINK("https://youtu.be/lJXFSADR2Is","channel 1")</f>
        <v>channel 1</v>
      </c>
    </row>
    <row r="26">
      <c r="B26" s="72" t="s">
        <v>1732</v>
      </c>
      <c r="C26" s="73" t="s">
        <v>116</v>
      </c>
      <c r="D26" s="74" t="s">
        <v>1731</v>
      </c>
      <c r="E26" s="66" t="str">
        <f>HYPERLINK("https://youtu.be/9QouOXuc4CQ","channel 2")</f>
        <v>channel 2</v>
      </c>
    </row>
    <row r="27">
      <c r="B27" s="72" t="s">
        <v>1792</v>
      </c>
      <c r="C27" s="73" t="s">
        <v>311</v>
      </c>
      <c r="D27" s="74" t="s">
        <v>540</v>
      </c>
      <c r="E27" s="13" t="str">
        <f>HYPERLINK("https://youtu.be/V0xpJEJmRa4","channel 1")</f>
        <v>channel 1</v>
      </c>
    </row>
    <row r="28">
      <c r="B28" s="72" t="s">
        <v>1732</v>
      </c>
      <c r="C28" s="73" t="s">
        <v>108</v>
      </c>
      <c r="D28" s="74" t="s">
        <v>1591</v>
      </c>
      <c r="E28" s="66" t="str">
        <f>HYPERLINK("https://youtu.be/pKzREblwQFo","channel 2")</f>
        <v>channel 2</v>
      </c>
    </row>
    <row r="29">
      <c r="B29" s="72" t="s">
        <v>1792</v>
      </c>
      <c r="C29" s="73" t="s">
        <v>141</v>
      </c>
      <c r="D29" s="74" t="s">
        <v>1731</v>
      </c>
      <c r="E29" s="13" t="str">
        <f>HYPERLINK("https://youtu.be/M4nM7BUe_Xs","channel 1")</f>
        <v>channel 1</v>
      </c>
    </row>
    <row r="30">
      <c r="B30" s="72" t="s">
        <v>1732</v>
      </c>
      <c r="C30" s="73" t="s">
        <v>694</v>
      </c>
      <c r="D30" s="74" t="s">
        <v>540</v>
      </c>
      <c r="E30" s="66" t="str">
        <f>HYPERLINK("https://youtu.be/iJX-nDC2Ei0","channel 2")</f>
        <v>channel 2</v>
      </c>
    </row>
    <row r="31">
      <c r="B31" s="72" t="s">
        <v>1792</v>
      </c>
      <c r="C31" s="73" t="s">
        <v>188</v>
      </c>
      <c r="D31" s="74" t="s">
        <v>1591</v>
      </c>
      <c r="E31" s="13" t="str">
        <f>HYPERLINK("https://youtu.be/CFogktS-iek","channel 1")</f>
        <v>channel 1</v>
      </c>
    </row>
    <row r="32">
      <c r="B32" s="72" t="s">
        <v>1731</v>
      </c>
      <c r="C32" s="73" t="s">
        <v>193</v>
      </c>
      <c r="D32" s="74" t="s">
        <v>540</v>
      </c>
      <c r="E32" s="66" t="str">
        <f>HYPERLINK("https://youtu.be/v2TN0QXsD-I","channel 2")</f>
        <v>channel 2</v>
      </c>
    </row>
    <row r="33">
      <c r="B33" s="72" t="s">
        <v>1792</v>
      </c>
      <c r="C33" s="73" t="s">
        <v>49</v>
      </c>
      <c r="D33" s="74" t="s">
        <v>1732</v>
      </c>
      <c r="E33" s="13" t="str">
        <f>HYPERLINK("https://youtu.be/mkRTenGsjLU","channel 1")</f>
        <v>channel 1</v>
      </c>
    </row>
    <row r="34">
      <c r="B34" s="72" t="s">
        <v>1731</v>
      </c>
      <c r="C34" s="73" t="s">
        <v>49</v>
      </c>
      <c r="D34" s="74" t="s">
        <v>1591</v>
      </c>
      <c r="E34" s="66" t="str">
        <f>HYPERLINK("https://youtu.be/kZTj4FZg_rw","channel 2")</f>
        <v>channel 2</v>
      </c>
    </row>
    <row r="35">
      <c r="B35" s="72" t="s">
        <v>1591</v>
      </c>
      <c r="C35" s="73" t="s">
        <v>337</v>
      </c>
      <c r="D35" s="74" t="s">
        <v>540</v>
      </c>
      <c r="E35" s="13" t="str">
        <f>HYPERLINK("https://youtu.be/a345m284W3M","channel 1")</f>
        <v>channel 1</v>
      </c>
    </row>
    <row r="36">
      <c r="B36" s="72" t="s">
        <v>1731</v>
      </c>
      <c r="C36" s="73" t="s">
        <v>124</v>
      </c>
      <c r="D36" s="74" t="s">
        <v>1732</v>
      </c>
      <c r="E36" s="66" t="str">
        <f>HYPERLINK("https://youtu.be/kvH8iQGFHYY","channel 2")</f>
        <v>channel 2</v>
      </c>
    </row>
    <row r="37">
      <c r="B37" s="72" t="s">
        <v>540</v>
      </c>
      <c r="C37" s="75" t="s">
        <v>1793</v>
      </c>
      <c r="D37" s="74" t="s">
        <v>1792</v>
      </c>
      <c r="E37" s="13" t="str">
        <f>HYPERLINK("https://youtu.be/hdcxWfsZi_8","channel 1")</f>
        <v>channel 1</v>
      </c>
    </row>
    <row r="38">
      <c r="B38" s="72" t="s">
        <v>1591</v>
      </c>
      <c r="C38" s="75" t="s">
        <v>34</v>
      </c>
      <c r="D38" s="74" t="s">
        <v>1732</v>
      </c>
      <c r="E38" s="66" t="str">
        <f>HYPERLINK("https://youtu.be/dXgaQ2Vg77w","channel 2")</f>
        <v>channel 2</v>
      </c>
    </row>
    <row r="39">
      <c r="B39" s="72" t="s">
        <v>1731</v>
      </c>
      <c r="C39" s="75" t="s">
        <v>145</v>
      </c>
      <c r="D39" s="74" t="s">
        <v>1792</v>
      </c>
      <c r="E39" s="13" t="str">
        <f>HYPERLINK("https://youtu.be/LcHGksqyNjM","channel 1")</f>
        <v>channel 1</v>
      </c>
    </row>
    <row r="40">
      <c r="B40" s="72" t="s">
        <v>540</v>
      </c>
      <c r="C40" s="75" t="s">
        <v>358</v>
      </c>
      <c r="D40" s="74" t="s">
        <v>1732</v>
      </c>
      <c r="E40" s="66" t="str">
        <f>HYPERLINK("https://youtu.be/4jflR4Wz118","channel 2")</f>
        <v>channel 2</v>
      </c>
    </row>
    <row r="41">
      <c r="B41" s="72" t="s">
        <v>1591</v>
      </c>
      <c r="C41" s="73" t="s">
        <v>35</v>
      </c>
      <c r="D41" s="74" t="s">
        <v>1792</v>
      </c>
      <c r="E41" s="13" t="str">
        <f>HYPERLINK("https://youtu.be/98IIyEEcTUY","channel 1")</f>
        <v>channel 1</v>
      </c>
    </row>
    <row r="42">
      <c r="B42" s="72" t="s">
        <v>540</v>
      </c>
      <c r="C42" s="73" t="s">
        <v>1391</v>
      </c>
      <c r="D42" s="74" t="s">
        <v>1731</v>
      </c>
      <c r="E42" s="66" t="str">
        <f>HYPERLINK("https://youtu.be/3wvpRzQsUhk","channel 2")</f>
        <v>channel 2</v>
      </c>
    </row>
    <row r="43">
      <c r="B43" s="72" t="s">
        <v>1732</v>
      </c>
      <c r="C43" s="75" t="s">
        <v>109</v>
      </c>
      <c r="D43" s="74" t="s">
        <v>1792</v>
      </c>
      <c r="E43" s="13" t="str">
        <f>HYPERLINK("https://youtu.be/8ygP-B4fWuY","channel 1")</f>
        <v>channel 1</v>
      </c>
    </row>
    <row r="44">
      <c r="B44" s="72" t="s">
        <v>1591</v>
      </c>
      <c r="C44" s="75" t="s">
        <v>145</v>
      </c>
      <c r="D44" s="74" t="s">
        <v>1731</v>
      </c>
      <c r="E44" s="66" t="str">
        <f>HYPERLINK("https://youtu.be/_ebD5mBqo5E","channel 2")</f>
        <v>channel 2</v>
      </c>
    </row>
    <row r="45">
      <c r="B45" s="116" t="s">
        <v>1794</v>
      </c>
      <c r="D45" s="117"/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663</v>
      </c>
      <c r="C47" s="87" t="s">
        <v>157</v>
      </c>
      <c r="D47" s="71" t="s">
        <v>895</v>
      </c>
      <c r="E47" s="13" t="str">
        <f>HYPERLINK("https://youtu.be/1K35Uj15SqM","channel 1")</f>
        <v>channel 1</v>
      </c>
    </row>
    <row r="48">
      <c r="B48" s="10" t="s">
        <v>1587</v>
      </c>
      <c r="C48" s="87" t="s">
        <v>74</v>
      </c>
      <c r="D48" s="10" t="s">
        <v>1474</v>
      </c>
      <c r="E48" s="66" t="str">
        <f>HYPERLINK("https://youtu.be/A0Al0gj_uYg","channel 2")</f>
        <v>channel 2</v>
      </c>
    </row>
    <row r="49">
      <c r="B49" s="72" t="s">
        <v>791</v>
      </c>
      <c r="C49" s="73" t="s">
        <v>35</v>
      </c>
      <c r="D49" s="74" t="s">
        <v>663</v>
      </c>
      <c r="E49" s="13" t="str">
        <f>HYPERLINK("https://youtu.be/slK3w0pP0ro","channel 1")</f>
        <v>channel 1</v>
      </c>
    </row>
    <row r="50">
      <c r="B50" s="72" t="s">
        <v>1587</v>
      </c>
      <c r="C50" s="73" t="s">
        <v>42</v>
      </c>
      <c r="D50" s="74" t="s">
        <v>895</v>
      </c>
      <c r="E50" s="66" t="str">
        <f>HYPERLINK("https://youtu.be/0AZVSLsvPeU","channel 2")</f>
        <v>channel 2</v>
      </c>
    </row>
    <row r="51">
      <c r="B51" s="72" t="s">
        <v>791</v>
      </c>
      <c r="C51" s="87" t="s">
        <v>111</v>
      </c>
      <c r="D51" s="74" t="s">
        <v>1474</v>
      </c>
      <c r="E51" s="13" t="str">
        <f>HYPERLINK("https://youtu.be/dX5ZCzZz8H0","channel 1")</f>
        <v>channel 1</v>
      </c>
    </row>
    <row r="52">
      <c r="B52" s="72" t="s">
        <v>1587</v>
      </c>
      <c r="C52" s="12" t="s">
        <v>141</v>
      </c>
      <c r="D52" s="74" t="s">
        <v>663</v>
      </c>
      <c r="E52" s="66" t="str">
        <f>HYPERLINK("https://youtu.be/ROuafLgHlwc","channel 2")</f>
        <v>channel 2</v>
      </c>
    </row>
    <row r="53">
      <c r="B53" s="72" t="s">
        <v>791</v>
      </c>
      <c r="C53" s="73" t="s">
        <v>278</v>
      </c>
      <c r="D53" s="74" t="s">
        <v>895</v>
      </c>
      <c r="E53" s="13" t="str">
        <f>HYPERLINK("https://youtu.be/N5GXbpshbCg","channel 1")</f>
        <v>channel 1</v>
      </c>
    </row>
    <row r="54">
      <c r="B54" s="72" t="s">
        <v>1474</v>
      </c>
      <c r="C54" s="73" t="s">
        <v>124</v>
      </c>
      <c r="D54" s="74" t="s">
        <v>663</v>
      </c>
      <c r="E54" s="66" t="str">
        <f>HYPERLINK("https://youtu.be/GVb_Y-ycSSo","channel 2")</f>
        <v>channel 2</v>
      </c>
    </row>
    <row r="55">
      <c r="B55" s="72" t="s">
        <v>791</v>
      </c>
      <c r="C55" s="73" t="s">
        <v>109</v>
      </c>
      <c r="D55" s="74" t="s">
        <v>1587</v>
      </c>
      <c r="E55" s="13" t="str">
        <f>HYPERLINK("https://youtu.be/reRJAk9-ZUw","channel 1")</f>
        <v>channel 1</v>
      </c>
    </row>
    <row r="56">
      <c r="B56" s="72" t="s">
        <v>1474</v>
      </c>
      <c r="C56" s="73" t="s">
        <v>106</v>
      </c>
      <c r="D56" s="74" t="s">
        <v>895</v>
      </c>
      <c r="E56" s="66" t="str">
        <f>HYPERLINK("https://youtu.be/z4W8D4uSnss","channel 2")</f>
        <v>channel 2</v>
      </c>
      <c r="F56" s="113"/>
    </row>
    <row r="57">
      <c r="B57" s="72" t="s">
        <v>895</v>
      </c>
      <c r="C57" s="73" t="s">
        <v>213</v>
      </c>
      <c r="D57" s="74" t="s">
        <v>663</v>
      </c>
      <c r="E57" s="13" t="str">
        <f>HYPERLINK("https://youtu.be/QSP_DnJqupo","channel 1")</f>
        <v>channel 1</v>
      </c>
      <c r="G57" s="114"/>
    </row>
    <row r="58">
      <c r="B58" s="72" t="s">
        <v>1474</v>
      </c>
      <c r="C58" s="73" t="s">
        <v>188</v>
      </c>
      <c r="D58" s="74" t="s">
        <v>1587</v>
      </c>
      <c r="E58" s="66" t="str">
        <f>HYPERLINK("https://youtu.be/5QvUYb60Y_E","channel 2")</f>
        <v>channel 2</v>
      </c>
    </row>
    <row r="59">
      <c r="B59" s="72" t="s">
        <v>663</v>
      </c>
      <c r="C59" s="75" t="s">
        <v>143</v>
      </c>
      <c r="D59" s="74" t="s">
        <v>791</v>
      </c>
      <c r="E59" s="13" t="str">
        <f>HYPERLINK("https://youtu.be/fAdvbRg_P0M","channel 1")</f>
        <v>channel 1</v>
      </c>
    </row>
    <row r="60">
      <c r="B60" s="72" t="s">
        <v>895</v>
      </c>
      <c r="C60" s="75" t="s">
        <v>103</v>
      </c>
      <c r="D60" s="74" t="s">
        <v>1587</v>
      </c>
      <c r="E60" s="66" t="str">
        <f>HYPERLINK("https://youtu.be/W7-0GCrKIcY","channel 2")</f>
        <v>channel 2</v>
      </c>
    </row>
    <row r="61">
      <c r="B61" s="72" t="s">
        <v>1474</v>
      </c>
      <c r="C61" s="75" t="s">
        <v>675</v>
      </c>
      <c r="D61" s="74" t="s">
        <v>791</v>
      </c>
      <c r="E61" s="13" t="str">
        <f>HYPERLINK("https://youtu.be/xbnHmA0KmOs","channel 1")</f>
        <v>channel 1</v>
      </c>
    </row>
    <row r="62">
      <c r="B62" s="72" t="s">
        <v>663</v>
      </c>
      <c r="C62" s="75" t="s">
        <v>47</v>
      </c>
      <c r="D62" s="74" t="s">
        <v>1587</v>
      </c>
      <c r="E62" s="66" t="str">
        <f>HYPERLINK("https://youtu.be/8T6Rg0GZSq4","channel 2")</f>
        <v>channel 2</v>
      </c>
    </row>
    <row r="63">
      <c r="B63" s="72" t="s">
        <v>895</v>
      </c>
      <c r="C63" s="73" t="s">
        <v>191</v>
      </c>
      <c r="D63" s="74" t="s">
        <v>791</v>
      </c>
      <c r="E63" s="23" t="s">
        <v>26</v>
      </c>
    </row>
    <row r="64">
      <c r="B64" s="72" t="s">
        <v>663</v>
      </c>
      <c r="C64" s="73" t="s">
        <v>49</v>
      </c>
      <c r="D64" s="74" t="s">
        <v>1474</v>
      </c>
      <c r="E64" s="66" t="str">
        <f>HYPERLINK("https://youtu.be/Gre23miWNOE","channel 2")</f>
        <v>channel 2</v>
      </c>
    </row>
    <row r="65">
      <c r="B65" s="72" t="s">
        <v>1587</v>
      </c>
      <c r="C65" s="75" t="s">
        <v>212</v>
      </c>
      <c r="D65" s="74" t="s">
        <v>791</v>
      </c>
      <c r="E65" s="13" t="str">
        <f>HYPERLINK("https://youtu.be/Orn8604Oc6M","channel 1")</f>
        <v>channel 1</v>
      </c>
    </row>
    <row r="66">
      <c r="B66" s="72" t="s">
        <v>895</v>
      </c>
      <c r="C66" s="75" t="s">
        <v>285</v>
      </c>
      <c r="D66" s="74" t="s">
        <v>1474</v>
      </c>
      <c r="E66" s="66" t="str">
        <f>HYPERLINK("https://youtu.be/iD7W6btdbM8","channel 2")</f>
        <v>channel 2</v>
      </c>
    </row>
    <row r="67">
      <c r="B67" s="116" t="s">
        <v>1795</v>
      </c>
      <c r="D67" s="117"/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50</v>
      </c>
      <c r="C69" s="70" t="s">
        <v>322</v>
      </c>
      <c r="D69" s="71" t="s">
        <v>1363</v>
      </c>
      <c r="E69" s="13" t="str">
        <f>HYPERLINK("https://youtu.be/X8TQaYST5-U","channel 1")</f>
        <v>channel 1</v>
      </c>
    </row>
    <row r="70">
      <c r="B70" s="72" t="s">
        <v>1796</v>
      </c>
      <c r="C70" s="73" t="s">
        <v>38</v>
      </c>
      <c r="D70" s="74" t="s">
        <v>488</v>
      </c>
      <c r="E70" s="66" t="str">
        <f>HYPERLINK("https://youtu.be/SPB_MraQkDs","channel 2")</f>
        <v>channel 2</v>
      </c>
    </row>
    <row r="71">
      <c r="B71" s="72" t="s">
        <v>605</v>
      </c>
      <c r="C71" s="73" t="s">
        <v>826</v>
      </c>
      <c r="D71" s="74" t="s">
        <v>50</v>
      </c>
      <c r="E71" s="13" t="str">
        <f>HYPERLINK("https://youtu.be/k3KQFpKwsuU","channel 1")</f>
        <v>channel 1</v>
      </c>
    </row>
    <row r="72">
      <c r="B72" s="72" t="s">
        <v>1796</v>
      </c>
      <c r="C72" s="73" t="s">
        <v>277</v>
      </c>
      <c r="D72" s="74" t="s">
        <v>1363</v>
      </c>
      <c r="E72" s="66" t="str">
        <f>HYPERLINK("https://youtu.be/m1WTupr0FLc","channel 2")</f>
        <v>channel 2</v>
      </c>
    </row>
    <row r="73">
      <c r="B73" s="72" t="s">
        <v>605</v>
      </c>
      <c r="C73" s="73" t="s">
        <v>104</v>
      </c>
      <c r="D73" s="74" t="s">
        <v>488</v>
      </c>
      <c r="E73" s="13" t="str">
        <f>HYPERLINK("https://youtu.be/wnK4hz1sO54","channel 1")</f>
        <v>channel 1</v>
      </c>
    </row>
    <row r="74">
      <c r="B74" s="72" t="s">
        <v>1796</v>
      </c>
      <c r="C74" s="73" t="s">
        <v>99</v>
      </c>
      <c r="D74" s="74" t="s">
        <v>50</v>
      </c>
      <c r="E74" s="66" t="str">
        <f>HYPERLINK("https://youtu.be/0Ah53aAyrMI","channel 2")</f>
        <v>channel 2</v>
      </c>
    </row>
    <row r="75">
      <c r="B75" s="72" t="s">
        <v>605</v>
      </c>
      <c r="C75" s="73" t="s">
        <v>214</v>
      </c>
      <c r="D75" s="74" t="s">
        <v>1363</v>
      </c>
      <c r="E75" s="13" t="str">
        <f>HYPERLINK("https://youtu.be/dXhJ-Ty6sLw","channel 1")</f>
        <v>channel 1</v>
      </c>
    </row>
    <row r="76">
      <c r="B76" s="72" t="s">
        <v>488</v>
      </c>
      <c r="C76" s="73" t="s">
        <v>104</v>
      </c>
      <c r="D76" s="74" t="s">
        <v>50</v>
      </c>
      <c r="E76" s="66" t="str">
        <f>HYPERLINK("https://youtu.be/JqwH2-EYcd0","channel 2")</f>
        <v>channel 2</v>
      </c>
    </row>
    <row r="77">
      <c r="B77" s="72" t="s">
        <v>605</v>
      </c>
      <c r="C77" s="73" t="s">
        <v>225</v>
      </c>
      <c r="D77" s="74" t="s">
        <v>1796</v>
      </c>
      <c r="E77" s="13" t="str">
        <f>HYPERLINK("https://youtu.be/KWnksB_57Ls","channel 1")</f>
        <v>channel 1</v>
      </c>
    </row>
    <row r="78">
      <c r="B78" s="72" t="s">
        <v>488</v>
      </c>
      <c r="C78" s="73" t="s">
        <v>347</v>
      </c>
      <c r="D78" s="74" t="s">
        <v>1363</v>
      </c>
      <c r="E78" s="66" t="str">
        <f>HYPERLINK("https://youtu.be/lQQkpFauCXk","channel 2")</f>
        <v>channel 2</v>
      </c>
    </row>
    <row r="79">
      <c r="B79" s="72" t="s">
        <v>1363</v>
      </c>
      <c r="C79" s="73" t="s">
        <v>32</v>
      </c>
      <c r="D79" s="74" t="s">
        <v>50</v>
      </c>
      <c r="E79" s="13" t="str">
        <f>HYPERLINK("https://youtu.be/io1z2fQPvn8","channel 1")</f>
        <v>channel 1</v>
      </c>
    </row>
    <row r="80">
      <c r="B80" s="72" t="s">
        <v>488</v>
      </c>
      <c r="C80" s="73" t="s">
        <v>213</v>
      </c>
      <c r="D80" s="74" t="s">
        <v>1796</v>
      </c>
      <c r="E80" s="66" t="str">
        <f>HYPERLINK("https://youtu.be/l3acHn1U3Xw","channel 2")</f>
        <v>channel 2</v>
      </c>
    </row>
    <row r="81">
      <c r="B81" s="72" t="s">
        <v>50</v>
      </c>
      <c r="C81" s="75" t="s">
        <v>188</v>
      </c>
      <c r="D81" s="74" t="s">
        <v>605</v>
      </c>
      <c r="E81" s="13" t="str">
        <f>HYPERLINK("https://youtu.be/2dSrKcNUzvQ","channel 1")</f>
        <v>channel 1</v>
      </c>
    </row>
    <row r="82">
      <c r="B82" s="72" t="s">
        <v>1363</v>
      </c>
      <c r="C82" s="75" t="s">
        <v>1505</v>
      </c>
      <c r="D82" s="74" t="s">
        <v>1796</v>
      </c>
      <c r="E82" s="66" t="str">
        <f>HYPERLINK("https://youtu.be/O8SlO1g4nCs","channel 2")</f>
        <v>channel 2</v>
      </c>
    </row>
    <row r="83">
      <c r="B83" s="72" t="s">
        <v>488</v>
      </c>
      <c r="C83" s="75" t="s">
        <v>628</v>
      </c>
      <c r="D83" s="74" t="s">
        <v>605</v>
      </c>
      <c r="E83" s="13" t="str">
        <f>HYPERLINK("https://youtu.be/WRmBCnx-qeE","channel 1")</f>
        <v>channel 1</v>
      </c>
    </row>
    <row r="84">
      <c r="B84" s="72" t="s">
        <v>50</v>
      </c>
      <c r="C84" s="75" t="s">
        <v>34</v>
      </c>
      <c r="D84" s="74" t="s">
        <v>1796</v>
      </c>
      <c r="E84" s="66" t="str">
        <f>HYPERLINK("https://youtu.be/btrACZOoUWM","channel 2")</f>
        <v>channel 2</v>
      </c>
    </row>
    <row r="85">
      <c r="B85" s="72" t="s">
        <v>1363</v>
      </c>
      <c r="C85" s="73" t="s">
        <v>494</v>
      </c>
      <c r="D85" s="74" t="s">
        <v>605</v>
      </c>
      <c r="E85" s="13" t="str">
        <f>HYPERLINK("https://youtu.be/H7ecr9_mc-g","channel 1")</f>
        <v>channel 1</v>
      </c>
    </row>
    <row r="86">
      <c r="B86" s="72" t="s">
        <v>50</v>
      </c>
      <c r="C86" s="73" t="s">
        <v>228</v>
      </c>
      <c r="D86" s="74" t="s">
        <v>488</v>
      </c>
      <c r="E86" s="66" t="str">
        <f>HYPERLINK("https://youtu.be/_Ds3up33jAs","channel 2")</f>
        <v>channel 2</v>
      </c>
    </row>
    <row r="87">
      <c r="B87" s="72" t="s">
        <v>1796</v>
      </c>
      <c r="C87" s="75" t="s">
        <v>102</v>
      </c>
      <c r="D87" s="74" t="s">
        <v>605</v>
      </c>
      <c r="E87" s="13" t="str">
        <f>HYPERLINK("https://youtu.be/JI_aqVSjUyo","channel 1")</f>
        <v>channel 1</v>
      </c>
    </row>
    <row r="88">
      <c r="B88" s="72" t="s">
        <v>1363</v>
      </c>
      <c r="C88" s="75" t="s">
        <v>27</v>
      </c>
      <c r="D88" s="74" t="s">
        <v>488</v>
      </c>
      <c r="E88" s="66" t="str">
        <f>HYPERLINK("https://youtu.be/Kw8Zwf9163I","channel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1797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1581</v>
      </c>
      <c r="C3" s="70" t="s">
        <v>47</v>
      </c>
      <c r="D3" s="10" t="s">
        <v>15</v>
      </c>
      <c r="E3" s="13" t="str">
        <f>HYPERLINK("https://youtu.be/dmFjwSiuKaU","channel 1")</f>
        <v>channel 1</v>
      </c>
    </row>
    <row r="4">
      <c r="B4" s="72" t="s">
        <v>1651</v>
      </c>
      <c r="C4" s="73" t="s">
        <v>459</v>
      </c>
      <c r="D4" s="72" t="s">
        <v>1798</v>
      </c>
      <c r="E4" s="66" t="str">
        <f>HYPERLINK("https://youtu.be/pDlMH9L5rV0","channel 2")</f>
        <v>channel 2</v>
      </c>
    </row>
    <row r="5">
      <c r="B5" s="72" t="s">
        <v>1799</v>
      </c>
      <c r="C5" s="73" t="s">
        <v>145</v>
      </c>
      <c r="D5" s="72" t="s">
        <v>1581</v>
      </c>
      <c r="E5" s="13" t="str">
        <f>HYPERLINK("https://youtu.be/PFifZgbCfGY","channel 1")</f>
        <v>channel 1</v>
      </c>
    </row>
    <row r="6">
      <c r="B6" s="72" t="s">
        <v>1651</v>
      </c>
      <c r="C6" s="73" t="s">
        <v>296</v>
      </c>
      <c r="D6" s="72" t="s">
        <v>15</v>
      </c>
      <c r="E6" s="66" t="str">
        <f>HYPERLINK("https://youtu.be/-6-1zMpVB_o","channel 2")</f>
        <v>channel 2</v>
      </c>
    </row>
    <row r="7">
      <c r="B7" s="72" t="s">
        <v>1799</v>
      </c>
      <c r="C7" s="73" t="s">
        <v>99</v>
      </c>
      <c r="D7" s="72" t="s">
        <v>1798</v>
      </c>
      <c r="E7" s="13" t="str">
        <f>HYPERLINK("https://youtu.be/UQKt_Z4cGVg","channel 1")</f>
        <v>channel 1</v>
      </c>
    </row>
    <row r="8">
      <c r="B8" s="72" t="s">
        <v>1651</v>
      </c>
      <c r="C8" s="73" t="s">
        <v>31</v>
      </c>
      <c r="D8" s="72" t="s">
        <v>1581</v>
      </c>
      <c r="E8" s="66" t="str">
        <f>HYPERLINK("https://youtu.be/x19mSemYc2k","channel 2")</f>
        <v>channel 2</v>
      </c>
    </row>
    <row r="9">
      <c r="B9" s="72" t="s">
        <v>1799</v>
      </c>
      <c r="C9" s="73" t="s">
        <v>157</v>
      </c>
      <c r="D9" s="72" t="s">
        <v>15</v>
      </c>
      <c r="E9" s="13" t="str">
        <f>HYPERLINK("https://youtu.be/mjSbqC55RdQ","channel 1")</f>
        <v>channel 1</v>
      </c>
    </row>
    <row r="10">
      <c r="B10" s="72" t="s">
        <v>1798</v>
      </c>
      <c r="C10" s="73" t="s">
        <v>144</v>
      </c>
      <c r="D10" s="72" t="s">
        <v>1581</v>
      </c>
      <c r="E10" s="66" t="str">
        <f>HYPERLINK("https://youtu.be/INSk_fndx2g","channel 2")</f>
        <v>channel 2</v>
      </c>
    </row>
    <row r="11">
      <c r="B11" s="72" t="s">
        <v>1799</v>
      </c>
      <c r="C11" s="73" t="s">
        <v>47</v>
      </c>
      <c r="D11" s="72" t="s">
        <v>1651</v>
      </c>
      <c r="E11" s="13" t="str">
        <f>HYPERLINK("https://youtu.be/Q6Ifh9scXgI","channel 1")</f>
        <v>channel 1</v>
      </c>
    </row>
    <row r="12">
      <c r="B12" s="72" t="s">
        <v>1798</v>
      </c>
      <c r="C12" s="73" t="s">
        <v>37</v>
      </c>
      <c r="D12" s="72" t="s">
        <v>15</v>
      </c>
      <c r="E12" s="66" t="str">
        <f>HYPERLINK("https://youtu.be/ktbV0XTdcJs","channel 2")</f>
        <v>channel 2</v>
      </c>
    </row>
    <row r="13">
      <c r="B13" s="72" t="s">
        <v>15</v>
      </c>
      <c r="C13" s="73" t="s">
        <v>97</v>
      </c>
      <c r="D13" s="72" t="s">
        <v>1581</v>
      </c>
      <c r="E13" s="13" t="str">
        <f>HYPERLINK("https://youtu.be/FJehn_Rr1yk","channel 1")</f>
        <v>channel 1</v>
      </c>
    </row>
    <row r="14">
      <c r="B14" s="72" t="s">
        <v>1798</v>
      </c>
      <c r="C14" s="73" t="s">
        <v>10</v>
      </c>
      <c r="D14" s="72" t="s">
        <v>1651</v>
      </c>
      <c r="E14" s="66" t="str">
        <f>HYPERLINK("https://youtu.be/sdXgcohOURQ","channel 2")</f>
        <v>channel 2</v>
      </c>
    </row>
    <row r="15">
      <c r="B15" s="72" t="s">
        <v>1581</v>
      </c>
      <c r="C15" s="75" t="s">
        <v>49</v>
      </c>
      <c r="D15" s="72" t="s">
        <v>1799</v>
      </c>
      <c r="E15" s="13" t="str">
        <f>HYPERLINK("https://youtu.be/7DIWqqnOEVw","channel 1")</f>
        <v>channel 1</v>
      </c>
      <c r="G15" s="47"/>
      <c r="H15" s="56"/>
      <c r="I15" s="47"/>
    </row>
    <row r="16">
      <c r="B16" s="72" t="s">
        <v>15</v>
      </c>
      <c r="C16" s="75" t="s">
        <v>216</v>
      </c>
      <c r="D16" s="72" t="s">
        <v>1651</v>
      </c>
      <c r="E16" s="66" t="str">
        <f>HYPERLINK("https://youtu.be/Vo3Iz3MG0Es","channel 2")</f>
        <v>channel 2</v>
      </c>
      <c r="G16" s="47"/>
      <c r="H16" s="56"/>
      <c r="I16" s="47"/>
    </row>
    <row r="17">
      <c r="B17" s="72" t="s">
        <v>1798</v>
      </c>
      <c r="C17" s="75" t="s">
        <v>47</v>
      </c>
      <c r="D17" s="72" t="s">
        <v>1799</v>
      </c>
      <c r="E17" s="13" t="str">
        <f>HYPERLINK("https://youtu.be/TpSrZEbSfws","channel 1")</f>
        <v>channel 1</v>
      </c>
    </row>
    <row r="18">
      <c r="B18" s="72" t="s">
        <v>1581</v>
      </c>
      <c r="C18" s="75" t="s">
        <v>90</v>
      </c>
      <c r="D18" s="72" t="s">
        <v>1651</v>
      </c>
      <c r="E18" s="66" t="str">
        <f>HYPERLINK("https://youtu.be/34IwHoEwwtU","channel 2")</f>
        <v>channel 2</v>
      </c>
    </row>
    <row r="19">
      <c r="B19" s="72" t="s">
        <v>15</v>
      </c>
      <c r="C19" s="73" t="s">
        <v>47</v>
      </c>
      <c r="D19" s="72" t="s">
        <v>1799</v>
      </c>
      <c r="E19" s="13" t="str">
        <f>HYPERLINK("https://youtu.be/-IU1Of--eMQ","channel 1")</f>
        <v>channel 1</v>
      </c>
    </row>
    <row r="20">
      <c r="B20" s="72" t="s">
        <v>1581</v>
      </c>
      <c r="C20" s="73" t="s">
        <v>103</v>
      </c>
      <c r="D20" s="72" t="s">
        <v>1798</v>
      </c>
      <c r="E20" s="66" t="str">
        <f>HYPERLINK("https://youtu.be/n92CLjqEJQ4","channel 2")</f>
        <v>channel 2</v>
      </c>
    </row>
    <row r="21">
      <c r="B21" s="72" t="s">
        <v>1651</v>
      </c>
      <c r="C21" s="75" t="s">
        <v>38</v>
      </c>
      <c r="D21" s="72" t="s">
        <v>1799</v>
      </c>
      <c r="E21" s="13" t="str">
        <f>HYPERLINK("https://youtu.be/23EGzCU4PMM","channel 1")</f>
        <v>channel 1</v>
      </c>
    </row>
    <row r="22">
      <c r="B22" s="72" t="s">
        <v>15</v>
      </c>
      <c r="C22" s="75" t="s">
        <v>34</v>
      </c>
      <c r="D22" s="72" t="s">
        <v>1798</v>
      </c>
      <c r="E22" s="66" t="str">
        <f>HYPERLINK("https://youtu.be/ojqKekCwOYE","channel 2")</f>
        <v>channel 2</v>
      </c>
    </row>
    <row r="23">
      <c r="B23" s="2" t="s">
        <v>1802</v>
      </c>
      <c r="C23" s="3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972</v>
      </c>
      <c r="C25" s="70" t="s">
        <v>97</v>
      </c>
      <c r="D25" s="10" t="s">
        <v>1803</v>
      </c>
      <c r="E25" s="13" t="str">
        <f>HYPERLINK("https://youtu.be/fmSgiefkeQI","channel 1")</f>
        <v>channel 1</v>
      </c>
    </row>
    <row r="26">
      <c r="B26" s="72" t="s">
        <v>582</v>
      </c>
      <c r="C26" s="73" t="s">
        <v>163</v>
      </c>
      <c r="D26" s="72" t="s">
        <v>897</v>
      </c>
      <c r="E26" s="66" t="str">
        <f>HYPERLINK("https://youtu.be/fmSgiefkeQI","channel 2")</f>
        <v>channel 2</v>
      </c>
    </row>
    <row r="27">
      <c r="B27" s="72" t="s">
        <v>391</v>
      </c>
      <c r="C27" s="73" t="s">
        <v>37</v>
      </c>
      <c r="D27" s="72" t="s">
        <v>972</v>
      </c>
      <c r="E27" s="13" t="str">
        <f>HYPERLINK("https://youtu.be/OCdot50DhZA","channel 1")</f>
        <v>channel 1</v>
      </c>
    </row>
    <row r="28">
      <c r="B28" s="72" t="s">
        <v>582</v>
      </c>
      <c r="C28" s="73" t="s">
        <v>145</v>
      </c>
      <c r="D28" s="72" t="s">
        <v>1803</v>
      </c>
      <c r="E28" s="66" t="str">
        <f>HYPERLINK("https://youtu.be/OISld9Vzrak","channel 2")</f>
        <v>channel 2</v>
      </c>
    </row>
    <row r="29">
      <c r="B29" s="72" t="s">
        <v>391</v>
      </c>
      <c r="C29" s="73" t="s">
        <v>107</v>
      </c>
      <c r="D29" s="72" t="s">
        <v>897</v>
      </c>
      <c r="E29" s="13" t="str">
        <f>HYPERLINK("https://youtu.be/lYa1LvMMMjU","channel 1")</f>
        <v>channel 1</v>
      </c>
    </row>
    <row r="30">
      <c r="B30" s="72" t="s">
        <v>582</v>
      </c>
      <c r="C30" s="73" t="s">
        <v>322</v>
      </c>
      <c r="D30" s="72" t="s">
        <v>972</v>
      </c>
      <c r="E30" s="66" t="str">
        <f>HYPERLINK("https://youtu.be/QjXzPXJekFs","channel 2")</f>
        <v>channel 2</v>
      </c>
    </row>
    <row r="31">
      <c r="B31" s="72" t="s">
        <v>391</v>
      </c>
      <c r="C31" s="73" t="s">
        <v>27</v>
      </c>
      <c r="D31" s="72" t="s">
        <v>1803</v>
      </c>
      <c r="E31" s="13" t="str">
        <f>HYPERLINK("https://youtu.be/4VKbNH-pXRs","channel 1")</f>
        <v>channel 1</v>
      </c>
    </row>
    <row r="32">
      <c r="B32" s="72" t="s">
        <v>897</v>
      </c>
      <c r="C32" s="73" t="s">
        <v>1584</v>
      </c>
      <c r="D32" s="72" t="s">
        <v>972</v>
      </c>
      <c r="E32" s="66" t="str">
        <f>HYPERLINK("https://youtu.be/bcassxBzAGQ","channel 2")</f>
        <v>channel 2</v>
      </c>
    </row>
    <row r="33">
      <c r="B33" s="72" t="s">
        <v>391</v>
      </c>
      <c r="C33" s="73" t="s">
        <v>304</v>
      </c>
      <c r="D33" s="72" t="s">
        <v>582</v>
      </c>
      <c r="E33" s="13" t="str">
        <f>HYPERLINK("https://youtu.be/xHdI99fZ6dg","channel 1")</f>
        <v>channel 1</v>
      </c>
    </row>
    <row r="34">
      <c r="B34" s="72" t="s">
        <v>897</v>
      </c>
      <c r="C34" s="73" t="s">
        <v>10</v>
      </c>
      <c r="D34" s="72" t="s">
        <v>1803</v>
      </c>
      <c r="E34" s="66" t="str">
        <f>HYPERLINK("https://youtu.be/wfcoPGxIkRo","channel 2")</f>
        <v>channel 2</v>
      </c>
    </row>
    <row r="35">
      <c r="B35" s="72" t="s">
        <v>1803</v>
      </c>
      <c r="C35" s="73" t="s">
        <v>10</v>
      </c>
      <c r="D35" s="72" t="s">
        <v>972</v>
      </c>
      <c r="E35" s="13" t="str">
        <f>HYPERLINK("https://youtu.be/GLyyuRiNP3M","channel 1")</f>
        <v>channel 1</v>
      </c>
    </row>
    <row r="36">
      <c r="B36" s="72" t="s">
        <v>897</v>
      </c>
      <c r="C36" s="73" t="s">
        <v>124</v>
      </c>
      <c r="D36" s="72" t="s">
        <v>582</v>
      </c>
      <c r="E36" s="66" t="str">
        <f>HYPERLINK("https://youtu.be/Zjo95bu19Lo","channel 2")</f>
        <v>channel 2</v>
      </c>
    </row>
    <row r="37">
      <c r="B37" s="72" t="s">
        <v>972</v>
      </c>
      <c r="C37" s="75" t="s">
        <v>99</v>
      </c>
      <c r="D37" s="72" t="s">
        <v>391</v>
      </c>
      <c r="E37" s="13" t="str">
        <f>HYPERLINK("https://youtu.be/Zmo3Qo76gaE","channel 1")</f>
        <v>channel 1</v>
      </c>
    </row>
    <row r="38">
      <c r="B38" s="72" t="s">
        <v>1803</v>
      </c>
      <c r="C38" s="75" t="s">
        <v>74</v>
      </c>
      <c r="D38" s="72" t="s">
        <v>582</v>
      </c>
      <c r="E38" s="66" t="str">
        <f>HYPERLINK("https://youtu.be/MIuK8cElIh0","channel 2")</f>
        <v>channel 2</v>
      </c>
    </row>
    <row r="39">
      <c r="B39" s="72" t="s">
        <v>897</v>
      </c>
      <c r="C39" s="75" t="s">
        <v>10</v>
      </c>
      <c r="D39" s="72" t="s">
        <v>391</v>
      </c>
      <c r="E39" s="13" t="str">
        <f>HYPERLINK("https://youtu.be/k7-gc5e1JqM","channel 1")</f>
        <v>channel 1</v>
      </c>
    </row>
    <row r="40">
      <c r="B40" s="72" t="s">
        <v>972</v>
      </c>
      <c r="C40" s="75" t="s">
        <v>142</v>
      </c>
      <c r="D40" s="72" t="s">
        <v>582</v>
      </c>
      <c r="E40" s="66" t="str">
        <f>HYPERLINK("https://youtu.be/lc2UXYbPsOU","channel 2")</f>
        <v>channel 2</v>
      </c>
    </row>
    <row r="41">
      <c r="B41" s="72" t="s">
        <v>1803</v>
      </c>
      <c r="C41" s="73" t="s">
        <v>255</v>
      </c>
      <c r="D41" s="72" t="s">
        <v>391</v>
      </c>
      <c r="E41" s="13" t="str">
        <f>HYPERLINK("https://youtu.be/2mXbhpmqO-Q","channel 1")</f>
        <v>channel 1</v>
      </c>
    </row>
    <row r="42">
      <c r="B42" s="72" t="s">
        <v>972</v>
      </c>
      <c r="C42" s="73" t="s">
        <v>47</v>
      </c>
      <c r="D42" s="72" t="s">
        <v>897</v>
      </c>
      <c r="E42" s="66" t="str">
        <f>HYPERLINK("https://youtu.be/1UOXbz6vHsA","channel 2")</f>
        <v>channel 2</v>
      </c>
    </row>
    <row r="43">
      <c r="B43" s="72" t="s">
        <v>582</v>
      </c>
      <c r="C43" s="75" t="s">
        <v>278</v>
      </c>
      <c r="D43" s="72" t="s">
        <v>391</v>
      </c>
      <c r="E43" s="13" t="str">
        <f>HYPERLINK("https://youtu.be/Bvp4V5MDKxI","channel 1")</f>
        <v>channel 1</v>
      </c>
    </row>
    <row r="44">
      <c r="B44" s="72" t="s">
        <v>1803</v>
      </c>
      <c r="C44" s="75" t="s">
        <v>108</v>
      </c>
      <c r="D44" s="72" t="s">
        <v>897</v>
      </c>
      <c r="E44" s="66" t="str">
        <f>HYPERLINK("https://youtu.be/u214Gw3x7RM","channel 2")</f>
        <v>channel 2</v>
      </c>
    </row>
    <row r="45">
      <c r="B45" s="116" t="s">
        <v>1807</v>
      </c>
      <c r="D45" s="117"/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1808</v>
      </c>
      <c r="C47" s="70" t="s">
        <v>141</v>
      </c>
      <c r="D47" s="10" t="s">
        <v>1162</v>
      </c>
      <c r="E47" s="13" t="str">
        <f>HYPERLINK("https://youtu.be/rpk1DcZYMKM","channel 1")</f>
        <v>channel 1</v>
      </c>
    </row>
    <row r="48">
      <c r="B48" s="72" t="s">
        <v>1160</v>
      </c>
      <c r="C48" s="73" t="s">
        <v>179</v>
      </c>
      <c r="D48" s="72" t="s">
        <v>1809</v>
      </c>
      <c r="E48" s="66" t="str">
        <f>HYPERLINK("https://youtu.be/dtQ8gq-F-rs","channel 2")</f>
        <v>channel 2</v>
      </c>
    </row>
    <row r="49">
      <c r="B49" s="72" t="s">
        <v>921</v>
      </c>
      <c r="C49" s="73" t="s">
        <v>1781</v>
      </c>
      <c r="D49" s="72" t="s">
        <v>1808</v>
      </c>
      <c r="E49" s="13" t="str">
        <f>HYPERLINK("https://youtu.be/e1UIPAxalek","channel 1")</f>
        <v>channel 1</v>
      </c>
    </row>
    <row r="50">
      <c r="B50" s="72" t="s">
        <v>1160</v>
      </c>
      <c r="C50" s="73" t="s">
        <v>144</v>
      </c>
      <c r="D50" s="72" t="s">
        <v>1162</v>
      </c>
      <c r="E50" s="66" t="str">
        <f>HYPERLINK("https://youtu.be/MgMAaxAIvTI","channel 2")</f>
        <v>channel 2</v>
      </c>
    </row>
    <row r="51">
      <c r="B51" s="72" t="s">
        <v>921</v>
      </c>
      <c r="C51" s="73" t="s">
        <v>97</v>
      </c>
      <c r="D51" s="72" t="s">
        <v>1809</v>
      </c>
      <c r="E51" s="13" t="str">
        <f>HYPERLINK("https://youtu.be/pbgJSxBsGWM","channel 1")</f>
        <v>channel 1</v>
      </c>
    </row>
    <row r="52">
      <c r="B52" s="72" t="s">
        <v>1160</v>
      </c>
      <c r="C52" s="73" t="s">
        <v>34</v>
      </c>
      <c r="D52" s="72" t="s">
        <v>1808</v>
      </c>
      <c r="E52" s="66" t="str">
        <f>HYPERLINK("https://youtu.be/DhMh20Q2CuY","channel 2")</f>
        <v>channel 2</v>
      </c>
    </row>
    <row r="53">
      <c r="B53" s="72" t="s">
        <v>921</v>
      </c>
      <c r="C53" s="73" t="s">
        <v>156</v>
      </c>
      <c r="D53" s="72" t="s">
        <v>1162</v>
      </c>
      <c r="E53" s="13" t="str">
        <f>HYPERLINK("https://youtu.be/eyEszRBmZ_I","channel 1")</f>
        <v>channel 1</v>
      </c>
    </row>
    <row r="54">
      <c r="B54" s="72" t="s">
        <v>1809</v>
      </c>
      <c r="C54" s="73" t="s">
        <v>10</v>
      </c>
      <c r="D54" s="72" t="s">
        <v>1808</v>
      </c>
      <c r="E54" s="66" t="str">
        <f>HYPERLINK("https://youtu.be/KUPAfJF8h4E","channel 2")</f>
        <v>channel 2</v>
      </c>
    </row>
    <row r="55">
      <c r="B55" s="72" t="s">
        <v>921</v>
      </c>
      <c r="C55" s="73" t="s">
        <v>56</v>
      </c>
      <c r="D55" s="72" t="s">
        <v>1160</v>
      </c>
      <c r="E55" s="13" t="str">
        <f>HYPERLINK("https://youtu.be/h49j8eH6NPo","channel 1")</f>
        <v>channel 1</v>
      </c>
    </row>
    <row r="56">
      <c r="B56" s="72" t="s">
        <v>1809</v>
      </c>
      <c r="C56" s="73" t="s">
        <v>35</v>
      </c>
      <c r="D56" s="72" t="s">
        <v>1162</v>
      </c>
      <c r="E56" s="66" t="str">
        <f>HYPERLINK("https://youtu.be/U_5j-99UgF8","channel 2")</f>
        <v>channel 2</v>
      </c>
      <c r="F56" s="113"/>
    </row>
    <row r="57">
      <c r="B57" s="72" t="s">
        <v>1162</v>
      </c>
      <c r="C57" s="73" t="s">
        <v>1810</v>
      </c>
      <c r="D57" s="72" t="s">
        <v>1808</v>
      </c>
      <c r="E57" s="13" t="str">
        <f>HYPERLINK("https://youtu.be/bAew8InOxmg","channel 1")</f>
        <v>channel 1</v>
      </c>
      <c r="G57" s="114"/>
    </row>
    <row r="58">
      <c r="B58" s="72" t="s">
        <v>1809</v>
      </c>
      <c r="C58" s="73" t="s">
        <v>141</v>
      </c>
      <c r="D58" s="72" t="s">
        <v>1160</v>
      </c>
      <c r="E58" s="66" t="str">
        <f>HYPERLINK("https://youtu.be/g2fkyjBLLSY","channel 2")</f>
        <v>channel 2</v>
      </c>
    </row>
    <row r="59">
      <c r="B59" s="72" t="s">
        <v>1808</v>
      </c>
      <c r="C59" s="75" t="s">
        <v>521</v>
      </c>
      <c r="D59" s="72" t="s">
        <v>921</v>
      </c>
      <c r="E59" s="13" t="str">
        <f>HYPERLINK("https://youtu.be/h6EwF3k6c3A","channel 1")</f>
        <v>channel 1</v>
      </c>
    </row>
    <row r="60">
      <c r="B60" s="72" t="s">
        <v>1162</v>
      </c>
      <c r="C60" s="75" t="s">
        <v>143</v>
      </c>
      <c r="D60" s="72" t="s">
        <v>1160</v>
      </c>
      <c r="E60" s="66" t="str">
        <f>HYPERLINK("https://youtu.be/tPA_qD0PNOs","channel 2")</f>
        <v>channel 2</v>
      </c>
    </row>
    <row r="61">
      <c r="B61" s="72" t="s">
        <v>1809</v>
      </c>
      <c r="C61" s="75" t="s">
        <v>124</v>
      </c>
      <c r="D61" s="72" t="s">
        <v>921</v>
      </c>
      <c r="E61" s="13" t="str">
        <f>HYPERLINK("https://youtu.be/HWHCX54TeJ0","channel 1")</f>
        <v>channel 1</v>
      </c>
    </row>
    <row r="62">
      <c r="B62" s="72" t="s">
        <v>1808</v>
      </c>
      <c r="C62" s="75" t="s">
        <v>37</v>
      </c>
      <c r="D62" s="72" t="s">
        <v>1160</v>
      </c>
      <c r="E62" s="66" t="str">
        <f>HYPERLINK("https://youtu.be/F5EFT6PYTUc","channel 2")</f>
        <v>channel 2</v>
      </c>
    </row>
    <row r="63">
      <c r="B63" s="72" t="s">
        <v>1162</v>
      </c>
      <c r="C63" s="73" t="s">
        <v>145</v>
      </c>
      <c r="D63" s="72" t="s">
        <v>921</v>
      </c>
      <c r="E63" s="13" t="str">
        <f>HYPERLINK("https://youtu.be/d22r0x8n8mk","channel 1")</f>
        <v>channel 1</v>
      </c>
    </row>
    <row r="64">
      <c r="B64" s="72" t="s">
        <v>1808</v>
      </c>
      <c r="C64" s="73" t="s">
        <v>106</v>
      </c>
      <c r="D64" s="72" t="s">
        <v>1809</v>
      </c>
      <c r="E64" s="66" t="str">
        <f>HYPERLINK("https://youtu.be/C7gv8-SWwcU","channel 2")</f>
        <v>channel 2</v>
      </c>
    </row>
    <row r="65">
      <c r="B65" s="72" t="s">
        <v>1160</v>
      </c>
      <c r="C65" s="75" t="s">
        <v>61</v>
      </c>
      <c r="D65" s="72" t="s">
        <v>921</v>
      </c>
      <c r="E65" s="13" t="str">
        <f>HYPERLINK("https://youtu.be/c2sJkRzGPYY","channel 1")</f>
        <v>channel 1</v>
      </c>
    </row>
    <row r="66">
      <c r="B66" s="72" t="s">
        <v>1162</v>
      </c>
      <c r="C66" s="75" t="s">
        <v>108</v>
      </c>
      <c r="D66" s="72" t="s">
        <v>1809</v>
      </c>
      <c r="E66" s="66" t="str">
        <f>HYPERLINK("https://youtu.be/HdfAV-z7DGM","channel 2")</f>
        <v>channel 2</v>
      </c>
    </row>
    <row r="67">
      <c r="B67" s="116" t="s">
        <v>1811</v>
      </c>
      <c r="D67" s="117"/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1488</v>
      </c>
      <c r="C69" s="70" t="s">
        <v>144</v>
      </c>
      <c r="D69" s="10" t="s">
        <v>1812</v>
      </c>
      <c r="E69" s="13" t="str">
        <f>HYPERLINK("https://youtu.be/Ok5-ZBjSGgw","channel 1")</f>
        <v>channel 1</v>
      </c>
    </row>
    <row r="70">
      <c r="B70" s="72" t="s">
        <v>1813</v>
      </c>
      <c r="C70" s="73" t="s">
        <v>894</v>
      </c>
      <c r="D70" s="72" t="s">
        <v>1814</v>
      </c>
      <c r="E70" s="66" t="str">
        <f>HYPERLINK("https://youtu.be/DkU_JWL-XVM","channel 2")</f>
        <v>channel 2</v>
      </c>
    </row>
    <row r="71">
      <c r="B71" s="72" t="s">
        <v>1369</v>
      </c>
      <c r="C71" s="73" t="s">
        <v>277</v>
      </c>
      <c r="D71" s="72" t="s">
        <v>1488</v>
      </c>
      <c r="E71" s="13" t="str">
        <f>HYPERLINK("https://youtu.be/lqynJPOVd5c","channel 1")</f>
        <v>channel 1</v>
      </c>
    </row>
    <row r="72">
      <c r="B72" s="72" t="s">
        <v>1813</v>
      </c>
      <c r="C72" s="73" t="s">
        <v>340</v>
      </c>
      <c r="D72" s="72" t="s">
        <v>1812</v>
      </c>
      <c r="E72" s="66" t="str">
        <f>HYPERLINK("https://youtu.be/Z7lcyfwFRqc","channel 2")</f>
        <v>channel 2</v>
      </c>
    </row>
    <row r="73">
      <c r="B73" s="72" t="s">
        <v>1369</v>
      </c>
      <c r="C73" s="73" t="s">
        <v>422</v>
      </c>
      <c r="D73" s="72" t="s">
        <v>1814</v>
      </c>
      <c r="E73" s="13" t="str">
        <f>HYPERLINK("https://youtu.be/IHKGNDx1Pk4","channel 1")</f>
        <v>channel 1</v>
      </c>
    </row>
    <row r="74">
      <c r="B74" s="72" t="s">
        <v>1813</v>
      </c>
      <c r="C74" s="73" t="s">
        <v>37</v>
      </c>
      <c r="D74" s="72" t="s">
        <v>1488</v>
      </c>
      <c r="E74" s="66" t="str">
        <f>HYPERLINK("https://youtu.be/Ez852hDLIiA","channel 2")</f>
        <v>channel 2</v>
      </c>
    </row>
    <row r="75">
      <c r="B75" s="72" t="s">
        <v>1369</v>
      </c>
      <c r="C75" s="73" t="s">
        <v>85</v>
      </c>
      <c r="D75" s="72" t="s">
        <v>1812</v>
      </c>
      <c r="E75" s="13" t="str">
        <f>HYPERLINK("https://youtu.be/RGfqmNlZWmw","channel 1")</f>
        <v>channel 1</v>
      </c>
    </row>
    <row r="76">
      <c r="B76" s="72" t="s">
        <v>1814</v>
      </c>
      <c r="C76" s="73" t="s">
        <v>61</v>
      </c>
      <c r="D76" s="72" t="s">
        <v>1488</v>
      </c>
      <c r="E76" s="66" t="str">
        <f>HYPERLINK("https://youtu.be/eiJCn5AxsWo","channel 2")</f>
        <v>channel 2</v>
      </c>
    </row>
    <row r="77">
      <c r="B77" s="72" t="s">
        <v>1369</v>
      </c>
      <c r="C77" s="73" t="s">
        <v>104</v>
      </c>
      <c r="D77" s="72" t="s">
        <v>1813</v>
      </c>
      <c r="E77" s="13" t="str">
        <f>HYPERLINK("https://youtu.be/z5QHMJzwQO0","channel 1")</f>
        <v>channel 1</v>
      </c>
    </row>
    <row r="78">
      <c r="B78" s="72" t="s">
        <v>1814</v>
      </c>
      <c r="C78" s="73" t="s">
        <v>85</v>
      </c>
      <c r="D78" s="72" t="s">
        <v>1812</v>
      </c>
      <c r="E78" s="66" t="str">
        <f>HYPERLINK("https://youtu.be/dsVJdLsAbHk","channel 2")</f>
        <v>channel 2</v>
      </c>
    </row>
    <row r="79">
      <c r="B79" s="72" t="s">
        <v>1812</v>
      </c>
      <c r="C79" s="73" t="s">
        <v>143</v>
      </c>
      <c r="D79" s="72" t="s">
        <v>1488</v>
      </c>
      <c r="E79" s="13" t="str">
        <f>HYPERLINK("https://youtu.be/LuewzE0tzjI","channel 1")</f>
        <v>channel 1</v>
      </c>
    </row>
    <row r="80">
      <c r="B80" s="72" t="s">
        <v>1814</v>
      </c>
      <c r="C80" s="73" t="s">
        <v>104</v>
      </c>
      <c r="D80" s="72" t="s">
        <v>1813</v>
      </c>
      <c r="E80" s="66" t="str">
        <f>HYPERLINK("https://youtu.be/aADQjITvKs8","channel 2")</f>
        <v>channel 2</v>
      </c>
    </row>
    <row r="81">
      <c r="B81" s="72" t="s">
        <v>1488</v>
      </c>
      <c r="C81" s="81" t="s">
        <v>458</v>
      </c>
      <c r="D81" s="72" t="s">
        <v>1369</v>
      </c>
      <c r="E81" s="13" t="str">
        <f>HYPERLINK("https://youtu.be/dQNq78wqqDo","channel 1")</f>
        <v>channel 1</v>
      </c>
    </row>
    <row r="82">
      <c r="B82" s="72" t="s">
        <v>1812</v>
      </c>
      <c r="C82" s="75" t="s">
        <v>491</v>
      </c>
      <c r="D82" s="72" t="s">
        <v>1813</v>
      </c>
      <c r="E82" s="66" t="str">
        <f>HYPERLINK("https://youtu.be/KfCaZmNZFvQ","channel 2")</f>
        <v>channel 2</v>
      </c>
    </row>
    <row r="83">
      <c r="B83" s="72" t="s">
        <v>1814</v>
      </c>
      <c r="C83" s="75" t="s">
        <v>127</v>
      </c>
      <c r="D83" s="72" t="s">
        <v>1369</v>
      </c>
      <c r="E83" s="13" t="str">
        <f>HYPERLINK("https://youtu.be/Qqlkzc-glzs","channel 1")</f>
        <v>channel 1</v>
      </c>
    </row>
    <row r="84">
      <c r="B84" s="72" t="s">
        <v>1488</v>
      </c>
      <c r="C84" s="75" t="s">
        <v>281</v>
      </c>
      <c r="D84" s="72" t="s">
        <v>1813</v>
      </c>
      <c r="E84" s="66" t="str">
        <f>HYPERLINK("https://youtu.be/Wj8NVOJCB1A","channel 2")</f>
        <v>channel 2</v>
      </c>
    </row>
    <row r="85">
      <c r="B85" s="72" t="s">
        <v>1812</v>
      </c>
      <c r="C85" s="73" t="s">
        <v>212</v>
      </c>
      <c r="D85" s="72" t="s">
        <v>1369</v>
      </c>
      <c r="E85" s="13" t="str">
        <f>HYPERLINK("https://youtu.be/8SVhG_eZupg","channel 1")</f>
        <v>channel 1</v>
      </c>
    </row>
    <row r="86">
      <c r="B86" s="72" t="s">
        <v>1488</v>
      </c>
      <c r="C86" s="73" t="s">
        <v>179</v>
      </c>
      <c r="D86" s="72" t="s">
        <v>1814</v>
      </c>
      <c r="E86" s="66" t="str">
        <f>HYPERLINK("https://youtu.be/X4ZNwTMN8oo","channel 2")</f>
        <v>channel 2</v>
      </c>
    </row>
    <row r="87">
      <c r="B87" s="72" t="s">
        <v>1813</v>
      </c>
      <c r="C87" s="75" t="s">
        <v>593</v>
      </c>
      <c r="D87" s="72" t="s">
        <v>1369</v>
      </c>
      <c r="E87" s="13" t="str">
        <f>HYPERLINK("https://youtu.be/p65ClUsa5Os","channel 1")</f>
        <v>channel 1</v>
      </c>
    </row>
    <row r="88">
      <c r="B88" s="72" t="s">
        <v>1812</v>
      </c>
      <c r="C88" s="75" t="s">
        <v>55</v>
      </c>
      <c r="D88" s="72" t="s">
        <v>1814</v>
      </c>
      <c r="E88" s="66" t="str">
        <f>HYPERLINK("https://youtu.be/s3ofK-R0_S8","channel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1800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488</v>
      </c>
      <c r="C3" s="70" t="s">
        <v>436</v>
      </c>
      <c r="D3" s="71" t="s">
        <v>1801</v>
      </c>
      <c r="E3" s="103" t="str">
        <f>HYPERLINK("https://youtu.be/YCJ4kuBZzXw","channel 1")</f>
        <v>channel 1</v>
      </c>
    </row>
    <row r="4">
      <c r="B4" s="72" t="s">
        <v>703</v>
      </c>
      <c r="C4" s="73" t="s">
        <v>49</v>
      </c>
      <c r="D4" s="74" t="s">
        <v>677</v>
      </c>
      <c r="E4" s="103" t="str">
        <f>HYPERLINK("https://youtu.be/bLLXiGPigzA","channel 2")</f>
        <v>channel 2</v>
      </c>
    </row>
    <row r="5">
      <c r="B5" s="72" t="s">
        <v>222</v>
      </c>
      <c r="C5" s="73" t="s">
        <v>142</v>
      </c>
      <c r="D5" s="74" t="s">
        <v>488</v>
      </c>
      <c r="E5" s="103" t="str">
        <f>HYPERLINK("https://youtu.be/k6CRc4O74Lc","channel 1")</f>
        <v>channel 1</v>
      </c>
    </row>
    <row r="6">
      <c r="B6" s="72" t="s">
        <v>703</v>
      </c>
      <c r="C6" s="73" t="s">
        <v>522</v>
      </c>
      <c r="D6" s="74" t="s">
        <v>1801</v>
      </c>
      <c r="E6" s="103" t="str">
        <f>HYPERLINK("https://youtu.be/3mZqNbbwkbw","channel 2")</f>
        <v>channel 2</v>
      </c>
    </row>
    <row r="7">
      <c r="B7" s="72" t="s">
        <v>222</v>
      </c>
      <c r="C7" s="73" t="s">
        <v>210</v>
      </c>
      <c r="D7" s="74" t="s">
        <v>677</v>
      </c>
      <c r="E7" s="103" t="str">
        <f>HYPERLINK("https://youtu.be/NRJcMuWSEVk","channel 1")</f>
        <v>channel 1</v>
      </c>
    </row>
    <row r="8">
      <c r="B8" s="72" t="s">
        <v>703</v>
      </c>
      <c r="C8" s="73" t="s">
        <v>109</v>
      </c>
      <c r="D8" s="74" t="s">
        <v>488</v>
      </c>
      <c r="E8" s="103" t="str">
        <f>HYPERLINK("https://youtu.be/N5ZsmmRPAZI","channel 2")</f>
        <v>channel 2</v>
      </c>
    </row>
    <row r="9">
      <c r="B9" s="72" t="s">
        <v>222</v>
      </c>
      <c r="C9" s="73" t="s">
        <v>44</v>
      </c>
      <c r="D9" s="74" t="s">
        <v>1801</v>
      </c>
      <c r="E9" s="103" t="str">
        <f>HYPERLINK("https://youtu.be/b6vKREL7eRI","channel 1")</f>
        <v>channel 1</v>
      </c>
    </row>
    <row r="10">
      <c r="B10" s="72" t="s">
        <v>677</v>
      </c>
      <c r="C10" s="73" t="s">
        <v>144</v>
      </c>
      <c r="D10" s="74" t="s">
        <v>488</v>
      </c>
      <c r="E10" s="103" t="str">
        <f>HYPERLINK("https://youtu.be/9ZNWzBBciaY","channel 2")</f>
        <v>channel 2</v>
      </c>
    </row>
    <row r="11">
      <c r="B11" s="72" t="s">
        <v>222</v>
      </c>
      <c r="C11" s="73" t="s">
        <v>84</v>
      </c>
      <c r="D11" s="74" t="s">
        <v>703</v>
      </c>
      <c r="E11" s="103" t="str">
        <f>HYPERLINK("https://youtu.be/sEbKpo_9268","channel 1")</f>
        <v>channel 1</v>
      </c>
    </row>
    <row r="12">
      <c r="B12" s="72" t="s">
        <v>677</v>
      </c>
      <c r="C12" s="73" t="s">
        <v>304</v>
      </c>
      <c r="D12" s="74" t="s">
        <v>1801</v>
      </c>
      <c r="E12" s="103" t="str">
        <f>HYPERLINK("https://youtu.be/xvqnGR2VJsw","channel 2")</f>
        <v>channel 2</v>
      </c>
    </row>
    <row r="13">
      <c r="B13" s="72" t="s">
        <v>1801</v>
      </c>
      <c r="C13" s="73" t="s">
        <v>168</v>
      </c>
      <c r="D13" s="74" t="s">
        <v>488</v>
      </c>
      <c r="E13" s="80" t="s">
        <v>26</v>
      </c>
    </row>
    <row r="14">
      <c r="B14" s="72" t="s">
        <v>677</v>
      </c>
      <c r="C14" s="73" t="s">
        <v>1804</v>
      </c>
      <c r="D14" s="74" t="s">
        <v>703</v>
      </c>
      <c r="E14" s="103" t="str">
        <f>HYPERLINK("https://youtu.be/nZSba9YtqQw","channel 2")</f>
        <v>channel 2</v>
      </c>
    </row>
    <row r="15">
      <c r="B15" s="72" t="s">
        <v>488</v>
      </c>
      <c r="C15" s="75" t="s">
        <v>213</v>
      </c>
      <c r="D15" s="74" t="s">
        <v>222</v>
      </c>
      <c r="E15" s="103" t="str">
        <f>HYPERLINK("https://youtu.be/Oa5BQfSLTyk","channel 1")</f>
        <v>channel 1</v>
      </c>
      <c r="G15" s="47"/>
      <c r="H15" s="56"/>
      <c r="I15" s="47"/>
    </row>
    <row r="16">
      <c r="B16" s="72" t="s">
        <v>1801</v>
      </c>
      <c r="C16" s="75" t="s">
        <v>435</v>
      </c>
      <c r="D16" s="74" t="s">
        <v>703</v>
      </c>
      <c r="E16" s="103" t="str">
        <f>HYPERLINK("https://youtu.be/tSnQ47l2vF4","channel 2")</f>
        <v>channel 2</v>
      </c>
      <c r="G16" s="47"/>
      <c r="H16" s="56"/>
      <c r="I16" s="47"/>
    </row>
    <row r="17">
      <c r="B17" s="72" t="s">
        <v>677</v>
      </c>
      <c r="C17" s="75" t="s">
        <v>109</v>
      </c>
      <c r="D17" s="74" t="s">
        <v>222</v>
      </c>
      <c r="E17" s="103" t="str">
        <f>HYPERLINK("https://youtu.be/6dAo8PxMOsQ","channel 1")</f>
        <v>channel 1</v>
      </c>
    </row>
    <row r="18">
      <c r="B18" s="72" t="s">
        <v>488</v>
      </c>
      <c r="C18" s="75" t="s">
        <v>960</v>
      </c>
      <c r="D18" s="74" t="s">
        <v>703</v>
      </c>
      <c r="E18" s="103" t="str">
        <f>HYPERLINK("https://youtu.be/y1iDzohrjI8","channel 2")</f>
        <v>channel 2</v>
      </c>
    </row>
    <row r="19">
      <c r="B19" s="72" t="s">
        <v>1801</v>
      </c>
      <c r="C19" s="75" t="s">
        <v>84</v>
      </c>
      <c r="D19" s="74" t="s">
        <v>222</v>
      </c>
      <c r="E19" s="103" t="str">
        <f>HYPERLINK("https://youtu.be/tGjAYGnUTHQ","channel 1")</f>
        <v>channel 1</v>
      </c>
    </row>
    <row r="20">
      <c r="B20" s="72" t="s">
        <v>488</v>
      </c>
      <c r="C20" s="75" t="s">
        <v>143</v>
      </c>
      <c r="D20" s="74" t="s">
        <v>677</v>
      </c>
      <c r="E20" s="103" t="str">
        <f>HYPERLINK("https://youtu.be/g0krTgCfTvk","channel 2")</f>
        <v>channel 2</v>
      </c>
    </row>
    <row r="21">
      <c r="B21" s="72" t="s">
        <v>703</v>
      </c>
      <c r="C21" s="75" t="s">
        <v>145</v>
      </c>
      <c r="D21" s="74" t="s">
        <v>222</v>
      </c>
      <c r="E21" s="103" t="str">
        <f>HYPERLINK("https://youtu.be/qHdlIuAJ2C8","channel 1")</f>
        <v>channel 1</v>
      </c>
    </row>
    <row r="22">
      <c r="B22" s="72" t="s">
        <v>1801</v>
      </c>
      <c r="C22" s="75" t="s">
        <v>37</v>
      </c>
      <c r="D22" s="74" t="s">
        <v>677</v>
      </c>
      <c r="E22" s="103" t="str">
        <f>HYPERLINK("https://youtu.be/g0krTgCfTvk","channel 2")</f>
        <v>channel 2</v>
      </c>
    </row>
    <row r="23">
      <c r="B23" s="2" t="s">
        <v>1337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741</v>
      </c>
      <c r="C25" s="70" t="s">
        <v>423</v>
      </c>
      <c r="D25" s="71" t="s">
        <v>1417</v>
      </c>
      <c r="E25" s="103" t="str">
        <f>HYPERLINK("https://youtu.be/mU7HVyzD_ek","channel 1")</f>
        <v>channel 1</v>
      </c>
    </row>
    <row r="26">
      <c r="B26" s="72" t="s">
        <v>1805</v>
      </c>
      <c r="C26" s="73" t="s">
        <v>156</v>
      </c>
      <c r="D26" s="74" t="s">
        <v>1806</v>
      </c>
      <c r="E26" s="103" t="str">
        <f>HYPERLINK("https://youtu.be/rGwJ_dg2ndE","channel 2")</f>
        <v>channel 2</v>
      </c>
    </row>
    <row r="27">
      <c r="B27" s="72" t="s">
        <v>1672</v>
      </c>
      <c r="C27" s="73" t="s">
        <v>109</v>
      </c>
      <c r="D27" s="74" t="s">
        <v>741</v>
      </c>
      <c r="E27" s="103" t="str">
        <f>HYPERLINK("https://youtu.be/OhV-VtioxqU","channel 1")</f>
        <v>channel 1</v>
      </c>
    </row>
    <row r="28">
      <c r="B28" s="72" t="s">
        <v>1805</v>
      </c>
      <c r="C28" s="73" t="s">
        <v>322</v>
      </c>
      <c r="D28" s="74" t="s">
        <v>1417</v>
      </c>
      <c r="E28" s="103" t="str">
        <f>HYPERLINK("https://youtu.be/uzYjhUY-lUk","channel 2")</f>
        <v>channel 2</v>
      </c>
    </row>
    <row r="29">
      <c r="B29" s="72" t="s">
        <v>1672</v>
      </c>
      <c r="C29" s="73" t="s">
        <v>47</v>
      </c>
      <c r="D29" s="74" t="s">
        <v>1806</v>
      </c>
      <c r="E29" s="103" t="str">
        <f>HYPERLINK("https://youtu.be/G53V1Nw-sgY","channel 1")</f>
        <v>channel 1</v>
      </c>
    </row>
    <row r="30">
      <c r="B30" s="72" t="s">
        <v>1805</v>
      </c>
      <c r="C30" s="73" t="s">
        <v>10</v>
      </c>
      <c r="D30" s="74" t="s">
        <v>741</v>
      </c>
      <c r="E30" s="103" t="str">
        <f>HYPERLINK("https://youtu.be/P9zMK1M50wc","channel 2")</f>
        <v>channel 2</v>
      </c>
    </row>
    <row r="31">
      <c r="B31" s="72" t="s">
        <v>1672</v>
      </c>
      <c r="C31" s="73" t="s">
        <v>722</v>
      </c>
      <c r="D31" s="74" t="s">
        <v>1417</v>
      </c>
      <c r="E31" s="103" t="str">
        <f>HYPERLINK("https://youtu.be/RtpCVl6odRc","channel 1")</f>
        <v>channel 1</v>
      </c>
    </row>
    <row r="32">
      <c r="B32" s="72" t="s">
        <v>1806</v>
      </c>
      <c r="C32" s="73" t="s">
        <v>24</v>
      </c>
      <c r="D32" s="74" t="s">
        <v>741</v>
      </c>
      <c r="E32" s="103" t="str">
        <f>HYPERLINK("https://youtu.be/KpiFspXqI50","channel 2")</f>
        <v>channel 2</v>
      </c>
    </row>
    <row r="33">
      <c r="B33" s="72" t="s">
        <v>1672</v>
      </c>
      <c r="C33" s="73" t="s">
        <v>285</v>
      </c>
      <c r="D33" s="74" t="s">
        <v>1805</v>
      </c>
      <c r="E33" s="103" t="str">
        <f>HYPERLINK("https://youtu.be/wORRMisZoPk","channel 1")</f>
        <v>channel 1</v>
      </c>
    </row>
    <row r="34">
      <c r="B34" s="72" t="s">
        <v>1806</v>
      </c>
      <c r="C34" s="73" t="s">
        <v>30</v>
      </c>
      <c r="D34" s="74" t="s">
        <v>1417</v>
      </c>
      <c r="E34" s="103" t="str">
        <f>HYPERLINK("https://youtu.be/Fe2PnpGW7pE","channel 2")</f>
        <v>channel 2</v>
      </c>
    </row>
    <row r="35">
      <c r="B35" s="72" t="s">
        <v>1417</v>
      </c>
      <c r="C35" s="73" t="s">
        <v>180</v>
      </c>
      <c r="D35" s="74" t="s">
        <v>741</v>
      </c>
      <c r="E35" s="103" t="str">
        <f>HYPERLINK("https://youtu.be/e-S4-cF1QKA","channel 1")</f>
        <v>channel 1</v>
      </c>
    </row>
    <row r="36">
      <c r="B36" s="72" t="s">
        <v>1806</v>
      </c>
      <c r="C36" s="73" t="s">
        <v>138</v>
      </c>
      <c r="D36" s="74" t="s">
        <v>1805</v>
      </c>
      <c r="E36" s="103" t="str">
        <f>HYPERLINK("https://youtu.be/vC1Rf0hSYSs","channel 2")</f>
        <v>channel 2</v>
      </c>
    </row>
    <row r="37">
      <c r="B37" s="72" t="s">
        <v>741</v>
      </c>
      <c r="C37" s="75" t="s">
        <v>55</v>
      </c>
      <c r="D37" s="74" t="s">
        <v>1672</v>
      </c>
      <c r="E37" s="103" t="str">
        <f>HYPERLINK("https://youtu.be/cOnHi5JgMKM","channel 1")</f>
        <v>channel 1</v>
      </c>
    </row>
    <row r="38">
      <c r="B38" s="72" t="s">
        <v>1417</v>
      </c>
      <c r="C38" s="75" t="s">
        <v>47</v>
      </c>
      <c r="D38" s="74" t="s">
        <v>1805</v>
      </c>
      <c r="E38" s="103" t="str">
        <f>HYPERLINK("https://youtu.be/neYchB4VAxw","channel 2")</f>
        <v>channel 2</v>
      </c>
    </row>
    <row r="39">
      <c r="B39" s="72" t="s">
        <v>1806</v>
      </c>
      <c r="C39" s="75" t="s">
        <v>859</v>
      </c>
      <c r="D39" s="74" t="s">
        <v>1672</v>
      </c>
      <c r="E39" s="103" t="str">
        <f>HYPERLINK("https://youtu.be/1LZGEsorDtw","channel 1")</f>
        <v>channel 1</v>
      </c>
    </row>
    <row r="40">
      <c r="B40" s="72" t="s">
        <v>741</v>
      </c>
      <c r="C40" s="75" t="s">
        <v>148</v>
      </c>
      <c r="D40" s="74" t="s">
        <v>1805</v>
      </c>
      <c r="E40" s="103" t="str">
        <f>HYPERLINK("https://youtu.be/1AQl_DigrOg","channel 2")</f>
        <v>channel 2</v>
      </c>
    </row>
    <row r="41">
      <c r="B41" s="72" t="s">
        <v>1417</v>
      </c>
      <c r="C41" s="75" t="s">
        <v>157</v>
      </c>
      <c r="D41" s="74" t="s">
        <v>1672</v>
      </c>
      <c r="E41" s="103" t="str">
        <f>HYPERLINK("https://youtu.be/jVH_AYSJGpU","channel 1")</f>
        <v>channel 1</v>
      </c>
    </row>
    <row r="42">
      <c r="B42" s="72" t="s">
        <v>741</v>
      </c>
      <c r="C42" s="75" t="s">
        <v>93</v>
      </c>
      <c r="D42" s="74" t="s">
        <v>1806</v>
      </c>
      <c r="E42" s="103" t="str">
        <f>HYPERLINK("https://youtu.be/uPyEHSIdLxg","channel 2")</f>
        <v>channel 2</v>
      </c>
    </row>
    <row r="43">
      <c r="B43" s="72" t="s">
        <v>1805</v>
      </c>
      <c r="C43" s="75" t="s">
        <v>311</v>
      </c>
      <c r="D43" s="74" t="s">
        <v>1672</v>
      </c>
      <c r="E43" s="103" t="str">
        <f>HYPERLINK("https://youtu.be/MEyRsaQi0rY","channel 1")</f>
        <v>channel 1</v>
      </c>
    </row>
    <row r="44">
      <c r="B44" s="72" t="s">
        <v>1417</v>
      </c>
      <c r="C44" s="75" t="s">
        <v>141</v>
      </c>
      <c r="D44" s="74" t="s">
        <v>1806</v>
      </c>
      <c r="E44" s="103" t="str">
        <f>HYPERLINK("https://youtu.be/x5zItnAZnHc","channel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1815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1639</v>
      </c>
      <c r="C3" s="70" t="s">
        <v>103</v>
      </c>
      <c r="D3" s="71" t="s">
        <v>779</v>
      </c>
      <c r="E3" s="103" t="str">
        <f>HYPERLINK("https://youtu.be/z-MCBrQdMic","channel 1")</f>
        <v>channel 1</v>
      </c>
    </row>
    <row r="4">
      <c r="B4" s="72" t="s">
        <v>1424</v>
      </c>
      <c r="C4" s="73" t="s">
        <v>148</v>
      </c>
      <c r="D4" s="74" t="s">
        <v>790</v>
      </c>
      <c r="E4" s="103" t="str">
        <f>HYPERLINK("https://youtu.be/DhNTqRHjjK0","channel 2")</f>
        <v>channel 2</v>
      </c>
    </row>
    <row r="5">
      <c r="B5" s="72" t="s">
        <v>777</v>
      </c>
      <c r="C5" s="73" t="s">
        <v>47</v>
      </c>
      <c r="D5" s="74" t="s">
        <v>1639</v>
      </c>
      <c r="E5" s="103" t="str">
        <f>HYPERLINK("https://youtu.be/8CxjcglNvbk","channel 1")</f>
        <v>channel 1</v>
      </c>
    </row>
    <row r="6">
      <c r="B6" s="72" t="s">
        <v>1424</v>
      </c>
      <c r="C6" s="73" t="s">
        <v>111</v>
      </c>
      <c r="D6" s="74" t="s">
        <v>779</v>
      </c>
      <c r="E6" s="103" t="str">
        <f>HYPERLINK("https://youtu.be/0-rs7adHRwA","channel 2")</f>
        <v>channel 2</v>
      </c>
    </row>
    <row r="7">
      <c r="B7" s="72" t="s">
        <v>777</v>
      </c>
      <c r="C7" s="73" t="s">
        <v>1461</v>
      </c>
      <c r="D7" s="74" t="s">
        <v>790</v>
      </c>
      <c r="E7" s="103" t="str">
        <f>HYPERLINK("https://youtu.be/JryXIrZ50ic","channel 1")</f>
        <v>channel 1</v>
      </c>
    </row>
    <row r="8">
      <c r="B8" s="72" t="s">
        <v>1424</v>
      </c>
      <c r="C8" s="73" t="s">
        <v>82</v>
      </c>
      <c r="D8" s="74" t="s">
        <v>1639</v>
      </c>
      <c r="E8" s="103" t="str">
        <f>HYPERLINK("https://youtu.be/plCuIDiQ1TQ","channel 2")</f>
        <v>channel 2</v>
      </c>
    </row>
    <row r="9">
      <c r="B9" s="72" t="s">
        <v>777</v>
      </c>
      <c r="C9" s="73" t="s">
        <v>10</v>
      </c>
      <c r="D9" s="74" t="s">
        <v>779</v>
      </c>
      <c r="E9" s="103" t="str">
        <f>HYPERLINK("https://youtu.be/WDa6ukKE-dQ","channel 1")</f>
        <v>channel 1</v>
      </c>
    </row>
    <row r="10">
      <c r="B10" s="72" t="s">
        <v>790</v>
      </c>
      <c r="C10" s="73" t="s">
        <v>241</v>
      </c>
      <c r="D10" s="74" t="s">
        <v>1639</v>
      </c>
      <c r="E10" s="103" t="str">
        <f>HYPERLINK("https://youtu.be/SERDtUgKZQk","channel 2")</f>
        <v>channel 2</v>
      </c>
    </row>
    <row r="11">
      <c r="B11" s="72" t="s">
        <v>777</v>
      </c>
      <c r="C11" s="73" t="s">
        <v>42</v>
      </c>
      <c r="D11" s="74" t="s">
        <v>1424</v>
      </c>
      <c r="E11" s="103" t="str">
        <f>HYPERLINK("https://youtu.be/os6K4pS3npQ","channel 1")</f>
        <v>channel 1</v>
      </c>
    </row>
    <row r="12">
      <c r="B12" s="72" t="s">
        <v>790</v>
      </c>
      <c r="C12" s="73" t="s">
        <v>97</v>
      </c>
      <c r="D12" s="74" t="s">
        <v>779</v>
      </c>
      <c r="E12" s="103" t="str">
        <f>HYPERLINK("https://youtu.be/2Me1qqC6-9g","channel 2")</f>
        <v>channel 2</v>
      </c>
    </row>
    <row r="13">
      <c r="B13" s="72" t="s">
        <v>779</v>
      </c>
      <c r="C13" s="73" t="s">
        <v>148</v>
      </c>
      <c r="D13" s="74" t="s">
        <v>1639</v>
      </c>
      <c r="E13" s="103" t="str">
        <f>HYPERLINK("https://youtu.be/gzUG_fQ_Tzo","channel 1")</f>
        <v>channel 1</v>
      </c>
    </row>
    <row r="14">
      <c r="B14" s="72" t="s">
        <v>790</v>
      </c>
      <c r="C14" s="73" t="s">
        <v>384</v>
      </c>
      <c r="D14" s="74" t="s">
        <v>1424</v>
      </c>
      <c r="E14" s="103" t="str">
        <f>HYPERLINK("https://youtu.be/hQaPeAPC1Jw","channel 2")</f>
        <v>channel 2</v>
      </c>
    </row>
    <row r="15">
      <c r="B15" s="72" t="s">
        <v>1639</v>
      </c>
      <c r="C15" s="75" t="s">
        <v>141</v>
      </c>
      <c r="D15" s="74" t="s">
        <v>777</v>
      </c>
      <c r="E15" s="103" t="str">
        <f>HYPERLINK("https://youtu.be/dtD547kmZO0","channel 1")</f>
        <v>channel 1</v>
      </c>
      <c r="G15" s="47"/>
      <c r="H15" s="56"/>
      <c r="I15" s="47"/>
    </row>
    <row r="16">
      <c r="B16" s="72" t="s">
        <v>779</v>
      </c>
      <c r="C16" s="75" t="s">
        <v>116</v>
      </c>
      <c r="D16" s="74" t="s">
        <v>1424</v>
      </c>
      <c r="E16" s="103" t="str">
        <f>HYPERLINK("https://youtu.be/2ucdK9ZgMsI","channel 2")</f>
        <v>channel 2</v>
      </c>
      <c r="G16" s="47"/>
      <c r="H16" s="56"/>
      <c r="I16" s="47"/>
    </row>
    <row r="17">
      <c r="B17" s="72" t="s">
        <v>790</v>
      </c>
      <c r="C17" s="75" t="s">
        <v>1816</v>
      </c>
      <c r="D17" s="74" t="s">
        <v>777</v>
      </c>
      <c r="E17" s="103" t="str">
        <f>HYPERLINK("https://youtu.be/JJQrV8Fzol8","channel 1")</f>
        <v>channel 1</v>
      </c>
    </row>
    <row r="18">
      <c r="B18" s="72" t="s">
        <v>1639</v>
      </c>
      <c r="C18" s="75" t="s">
        <v>214</v>
      </c>
      <c r="D18" s="74" t="s">
        <v>1424</v>
      </c>
      <c r="E18" s="103" t="str">
        <f>HYPERLINK("https://youtu.be/UMXQvf1KLC4","channel 2")</f>
        <v>channel 2</v>
      </c>
    </row>
    <row r="19">
      <c r="B19" s="72" t="s">
        <v>779</v>
      </c>
      <c r="C19" s="75" t="s">
        <v>143</v>
      </c>
      <c r="D19" s="74" t="s">
        <v>777</v>
      </c>
      <c r="E19" s="103" t="str">
        <f>HYPERLINK("https://youtu.be/pep7kBQ_Ojg","channel 1")</f>
        <v>channel 1</v>
      </c>
    </row>
    <row r="20">
      <c r="B20" s="72" t="s">
        <v>1639</v>
      </c>
      <c r="C20" s="75" t="s">
        <v>10</v>
      </c>
      <c r="D20" s="74" t="s">
        <v>790</v>
      </c>
      <c r="E20" s="103" t="str">
        <f>HYPERLINK("https://youtu.be/qwK21ngIfxk","channel 2")</f>
        <v>channel 2</v>
      </c>
    </row>
    <row r="21">
      <c r="B21" s="72" t="s">
        <v>1424</v>
      </c>
      <c r="C21" s="75" t="s">
        <v>38</v>
      </c>
      <c r="D21" s="74" t="s">
        <v>777</v>
      </c>
      <c r="E21" s="103" t="str">
        <f>HYPERLINK("https://youtu.be/pep7kBQ_Ojg","channel 1")</f>
        <v>channel 1</v>
      </c>
    </row>
    <row r="22">
      <c r="B22" s="72" t="s">
        <v>779</v>
      </c>
      <c r="C22" s="75" t="s">
        <v>194</v>
      </c>
      <c r="D22" s="74" t="s">
        <v>790</v>
      </c>
      <c r="E22" s="103" t="str">
        <f>HYPERLINK("https://youtu.be/wnm5HmsTzwg","channel 2")</f>
        <v>channel 2</v>
      </c>
    </row>
    <row r="23">
      <c r="B23" s="2" t="s">
        <v>1464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1817</v>
      </c>
      <c r="C25" s="70" t="s">
        <v>124</v>
      </c>
      <c r="D25" s="71" t="s">
        <v>1818</v>
      </c>
      <c r="E25" s="103" t="str">
        <f>HYPERLINK("https://youtu.be/Xa9JEPu2NZA","channel 1")</f>
        <v>channel 1</v>
      </c>
    </row>
    <row r="26">
      <c r="B26" s="72" t="s">
        <v>1270</v>
      </c>
      <c r="C26" s="73" t="s">
        <v>214</v>
      </c>
      <c r="D26" s="74" t="s">
        <v>1593</v>
      </c>
      <c r="E26" s="103" t="str">
        <f>HYPERLINK("https://youtu.be/yevGigtjPf8","channel 2")</f>
        <v>channel 2</v>
      </c>
    </row>
    <row r="27">
      <c r="B27" s="72" t="s">
        <v>1273</v>
      </c>
      <c r="C27" s="73" t="s">
        <v>104</v>
      </c>
      <c r="D27" s="74" t="s">
        <v>1817</v>
      </c>
      <c r="E27" s="103" t="str">
        <f>HYPERLINK("https://youtu.be/A_dc6p7faMs","channel 1")</f>
        <v>channel 1</v>
      </c>
    </row>
    <row r="28">
      <c r="B28" s="72" t="s">
        <v>1270</v>
      </c>
      <c r="C28" s="73" t="s">
        <v>85</v>
      </c>
      <c r="D28" s="74" t="s">
        <v>1818</v>
      </c>
      <c r="E28" s="103" t="str">
        <f>HYPERLINK("https://youtu.be/qvPEY_h-Rf8","channel 2")</f>
        <v>channel 2</v>
      </c>
    </row>
    <row r="29">
      <c r="B29" s="72" t="s">
        <v>1273</v>
      </c>
      <c r="C29" s="73" t="s">
        <v>228</v>
      </c>
      <c r="D29" s="74" t="s">
        <v>1593</v>
      </c>
      <c r="E29" s="103" t="str">
        <f>HYPERLINK("https://youtu.be/kbEoUB3WRK0","channel 1")</f>
        <v>channel 1</v>
      </c>
    </row>
    <row r="30">
      <c r="B30" s="72" t="s">
        <v>1270</v>
      </c>
      <c r="C30" s="73" t="s">
        <v>216</v>
      </c>
      <c r="D30" s="74" t="s">
        <v>1817</v>
      </c>
      <c r="E30" s="103" t="str">
        <f>HYPERLINK("https://youtu.be/R9eJLRYLTJM","channel 2")</f>
        <v>channel 2</v>
      </c>
    </row>
    <row r="31">
      <c r="B31" s="72" t="s">
        <v>1273</v>
      </c>
      <c r="C31" s="73" t="s">
        <v>671</v>
      </c>
      <c r="D31" s="74" t="s">
        <v>1818</v>
      </c>
      <c r="E31" s="103" t="str">
        <f>HYPERLINK("https://youtu.be/O1-0NZs_kGM","channel 1")</f>
        <v>channel 1</v>
      </c>
    </row>
    <row r="32">
      <c r="B32" s="72" t="s">
        <v>1593</v>
      </c>
      <c r="C32" s="73" t="s">
        <v>311</v>
      </c>
      <c r="D32" s="74" t="s">
        <v>1817</v>
      </c>
      <c r="E32" s="103" t="str">
        <f>HYPERLINK("https://youtu.be/y94i7n17Jvc","channel 2")</f>
        <v>channel 2</v>
      </c>
    </row>
    <row r="33">
      <c r="B33" s="72" t="s">
        <v>1273</v>
      </c>
      <c r="C33" s="73" t="s">
        <v>108</v>
      </c>
      <c r="D33" s="74" t="s">
        <v>1270</v>
      </c>
      <c r="E33" s="103" t="str">
        <f>HYPERLINK("https://youtu.be/NAoFzkJS48o","channel 1")</f>
        <v>channel 1</v>
      </c>
    </row>
    <row r="34">
      <c r="B34" s="72" t="s">
        <v>1593</v>
      </c>
      <c r="C34" s="73" t="s">
        <v>10</v>
      </c>
      <c r="D34" s="74" t="s">
        <v>1818</v>
      </c>
      <c r="E34" s="103" t="str">
        <f>HYPERLINK("https://youtu.be/7lDloF4ijbg","channel 2")</f>
        <v>channel 2</v>
      </c>
    </row>
    <row r="35">
      <c r="B35" s="72" t="s">
        <v>1818</v>
      </c>
      <c r="C35" s="73" t="s">
        <v>97</v>
      </c>
      <c r="D35" s="74" t="s">
        <v>1817</v>
      </c>
      <c r="E35" s="103" t="str">
        <f>HYPERLINK("https://youtu.be/my0SFSfJPtc","channel 1")</f>
        <v>channel 1</v>
      </c>
    </row>
    <row r="36">
      <c r="B36" s="72" t="s">
        <v>1593</v>
      </c>
      <c r="C36" s="73" t="s">
        <v>1461</v>
      </c>
      <c r="D36" s="74" t="s">
        <v>1270</v>
      </c>
      <c r="E36" s="103" t="str">
        <f>HYPERLINK("https://youtu.be/lyrwlj_ebt0","channel 2")</f>
        <v>channel 2</v>
      </c>
    </row>
    <row r="37">
      <c r="B37" s="72" t="s">
        <v>1817</v>
      </c>
      <c r="C37" s="75" t="s">
        <v>144</v>
      </c>
      <c r="D37" s="74" t="s">
        <v>1273</v>
      </c>
      <c r="E37" s="103" t="str">
        <f>HYPERLINK("https://youtu.be/i8-OvEbbETk","channel 1")</f>
        <v>channel 1</v>
      </c>
    </row>
    <row r="38">
      <c r="B38" s="72" t="s">
        <v>1818</v>
      </c>
      <c r="C38" s="75" t="s">
        <v>268</v>
      </c>
      <c r="D38" s="74" t="s">
        <v>1270</v>
      </c>
      <c r="E38" s="103" t="str">
        <f>HYPERLINK("https://youtu.be/gD2-cgiSUWg","channel 2")</f>
        <v>channel 2</v>
      </c>
    </row>
    <row r="39">
      <c r="B39" s="72" t="s">
        <v>1593</v>
      </c>
      <c r="C39" s="75" t="s">
        <v>56</v>
      </c>
      <c r="D39" s="74" t="s">
        <v>1273</v>
      </c>
      <c r="E39" s="103" t="str">
        <f>HYPERLINK("https://youtu.be/jLNBERwelL0","channel 1")</f>
        <v>channel 1</v>
      </c>
    </row>
    <row r="40">
      <c r="B40" s="72" t="s">
        <v>1817</v>
      </c>
      <c r="C40" s="75" t="s">
        <v>59</v>
      </c>
      <c r="D40" s="74" t="s">
        <v>1270</v>
      </c>
      <c r="E40" s="103" t="str">
        <f>HYPERLINK("https://youtu.be/zQs1zsWqkeA","channel 2")</f>
        <v>channel 2</v>
      </c>
    </row>
    <row r="41">
      <c r="B41" s="72" t="s">
        <v>1818</v>
      </c>
      <c r="C41" s="75" t="s">
        <v>108</v>
      </c>
      <c r="D41" s="74" t="s">
        <v>1273</v>
      </c>
      <c r="E41" s="103" t="str">
        <f>HYPERLINK("https://youtu.be/l7wcrDdYqUc","channel 1")</f>
        <v>channel 1</v>
      </c>
    </row>
    <row r="42">
      <c r="B42" s="72" t="s">
        <v>1817</v>
      </c>
      <c r="C42" s="75" t="s">
        <v>1819</v>
      </c>
      <c r="D42" s="74" t="s">
        <v>1593</v>
      </c>
      <c r="E42" s="103" t="str">
        <f>HYPERLINK("https://youtu.be/Q1S1o-dRxqU","channel 2")</f>
        <v>channel 2</v>
      </c>
    </row>
    <row r="43">
      <c r="B43" s="72" t="s">
        <v>1270</v>
      </c>
      <c r="C43" s="75" t="s">
        <v>538</v>
      </c>
      <c r="D43" s="74" t="s">
        <v>1273</v>
      </c>
      <c r="E43" s="103" t="str">
        <f>HYPERLINK("https://youtu.be/dHWKkML3r6E","channel 1")</f>
        <v>channel 1</v>
      </c>
    </row>
    <row r="44">
      <c r="B44" s="72" t="s">
        <v>1818</v>
      </c>
      <c r="C44" s="75" t="s">
        <v>61</v>
      </c>
      <c r="D44" s="74" t="s">
        <v>1593</v>
      </c>
      <c r="E44" s="103" t="str">
        <f>HYPERLINK("https://youtu.be/StvKP-b-2kk","channel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1820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1465</v>
      </c>
      <c r="C3" s="70" t="s">
        <v>35</v>
      </c>
      <c r="D3" s="71" t="s">
        <v>1772</v>
      </c>
      <c r="E3" s="13" t="str">
        <f>HYPERLINK("https://youtu.be/qpIhbL5_nU0","channel 1")</f>
        <v>channel 1</v>
      </c>
    </row>
    <row r="4">
      <c r="B4" s="72" t="s">
        <v>1352</v>
      </c>
      <c r="C4" s="73" t="s">
        <v>213</v>
      </c>
      <c r="D4" s="74" t="s">
        <v>706</v>
      </c>
      <c r="E4" s="66" t="str">
        <f>HYPERLINK("https://youtu.be/O-ZY9ahKMCk","channel 2")</f>
        <v>channel 2</v>
      </c>
    </row>
    <row r="5">
      <c r="B5" s="72" t="s">
        <v>1700</v>
      </c>
      <c r="C5" s="73" t="s">
        <v>1021</v>
      </c>
      <c r="D5" s="74" t="s">
        <v>1465</v>
      </c>
      <c r="E5" s="13" t="str">
        <f>HYPERLINK("https://youtu.be/PLC2A4TDCc0","channel 1")</f>
        <v>channel 1</v>
      </c>
    </row>
    <row r="6">
      <c r="B6" s="72" t="s">
        <v>1352</v>
      </c>
      <c r="C6" s="73" t="s">
        <v>911</v>
      </c>
      <c r="D6" s="74" t="s">
        <v>1772</v>
      </c>
      <c r="E6" s="66" t="str">
        <f>HYPERLINK("https://youtu.be/d0YtZcAxYnM","channel 2")</f>
        <v>channel 2</v>
      </c>
    </row>
    <row r="7">
      <c r="B7" s="72" t="s">
        <v>1700</v>
      </c>
      <c r="C7" s="73" t="s">
        <v>216</v>
      </c>
      <c r="D7" s="74" t="s">
        <v>706</v>
      </c>
      <c r="E7" s="13" t="str">
        <f>HYPERLINK("https://youtu.be/m9M_E01NuHY","channel 1")</f>
        <v>channel 1</v>
      </c>
    </row>
    <row r="8">
      <c r="B8" s="72" t="s">
        <v>1352</v>
      </c>
      <c r="C8" s="73" t="s">
        <v>103</v>
      </c>
      <c r="D8" s="74" t="s">
        <v>1465</v>
      </c>
      <c r="E8" s="66" t="str">
        <f>HYPERLINK("https://youtu.be/rIRLBQR8uJQ","channel 2")</f>
        <v>channel 2</v>
      </c>
    </row>
    <row r="9">
      <c r="B9" s="72" t="s">
        <v>1700</v>
      </c>
      <c r="C9" s="73" t="s">
        <v>42</v>
      </c>
      <c r="D9" s="74" t="s">
        <v>1772</v>
      </c>
      <c r="E9" s="13" t="str">
        <f>HYPERLINK("https://youtu.be/E_19dC4Ssho","channel 1")</f>
        <v>channel 1</v>
      </c>
    </row>
    <row r="10">
      <c r="B10" s="72" t="s">
        <v>706</v>
      </c>
      <c r="C10" s="73" t="s">
        <v>135</v>
      </c>
      <c r="D10" s="74" t="s">
        <v>1465</v>
      </c>
      <c r="E10" s="66" t="str">
        <f>HYPERLINK("https://youtu.be/ecEdRjCMQYk","channel 2")</f>
        <v>channel 2</v>
      </c>
    </row>
    <row r="11">
      <c r="B11" s="72" t="s">
        <v>1700</v>
      </c>
      <c r="C11" s="73" t="s">
        <v>226</v>
      </c>
      <c r="D11" s="74" t="s">
        <v>1352</v>
      </c>
      <c r="E11" s="13" t="str">
        <f>HYPERLINK("https://youtu.be/zbH2aVP2tZw","channel 1")</f>
        <v>channel 1</v>
      </c>
    </row>
    <row r="12">
      <c r="B12" s="72" t="s">
        <v>706</v>
      </c>
      <c r="C12" s="73" t="s">
        <v>124</v>
      </c>
      <c r="D12" s="74" t="s">
        <v>1772</v>
      </c>
      <c r="E12" s="66" t="str">
        <f>HYPERLINK("https://youtu.be/wLXlymy9qKQ","channel 2")</f>
        <v>channel 2</v>
      </c>
    </row>
    <row r="13">
      <c r="B13" s="72" t="s">
        <v>1772</v>
      </c>
      <c r="C13" s="73" t="s">
        <v>32</v>
      </c>
      <c r="D13" s="74" t="s">
        <v>1465</v>
      </c>
      <c r="E13" s="13" t="str">
        <f>HYPERLINK("https://youtu.be/DxR9w3GGzyc","channel 1")</f>
        <v>channel 1</v>
      </c>
    </row>
    <row r="14">
      <c r="B14" s="72" t="s">
        <v>706</v>
      </c>
      <c r="C14" s="73" t="s">
        <v>84</v>
      </c>
      <c r="D14" s="74" t="s">
        <v>1352</v>
      </c>
      <c r="E14" s="66" t="str">
        <f>HYPERLINK("https://youtu.be/cVFVTAO-fpI","channel 2")</f>
        <v>channel 2</v>
      </c>
    </row>
    <row r="15">
      <c r="B15" s="72" t="s">
        <v>1465</v>
      </c>
      <c r="C15" s="75" t="s">
        <v>99</v>
      </c>
      <c r="D15" s="74" t="s">
        <v>1700</v>
      </c>
      <c r="E15" s="13" t="str">
        <f>HYPERLINK("https://youtu.be/OVa8uWjZvNM","channel 1")</f>
        <v>channel 1</v>
      </c>
    </row>
    <row r="16">
      <c r="B16" s="72" t="s">
        <v>1772</v>
      </c>
      <c r="C16" s="75" t="s">
        <v>47</v>
      </c>
      <c r="D16" s="74" t="s">
        <v>1352</v>
      </c>
      <c r="E16" s="66" t="str">
        <f>HYPERLINK("https://youtu.be/bjjccyl8aL8","channel 2")</f>
        <v>channel 2</v>
      </c>
    </row>
    <row r="17">
      <c r="B17" s="72" t="s">
        <v>706</v>
      </c>
      <c r="C17" s="75" t="s">
        <v>34</v>
      </c>
      <c r="D17" s="74" t="s">
        <v>1700</v>
      </c>
      <c r="E17" s="13" t="str">
        <f>HYPERLINK("https://youtu.be/9dNxwseRuoY","channel 1")</f>
        <v>channel 1</v>
      </c>
    </row>
    <row r="18">
      <c r="B18" s="72" t="s">
        <v>1465</v>
      </c>
      <c r="C18" s="75" t="s">
        <v>470</v>
      </c>
      <c r="D18" s="74" t="s">
        <v>1352</v>
      </c>
      <c r="E18" s="66" t="str">
        <f>HYPERLINK("https://youtu.be/LmVyeoaYy0k","channel 2")</f>
        <v>channel 2</v>
      </c>
    </row>
    <row r="19">
      <c r="B19" s="72" t="s">
        <v>1772</v>
      </c>
      <c r="C19" s="73" t="s">
        <v>188</v>
      </c>
      <c r="D19" s="74" t="s">
        <v>1700</v>
      </c>
      <c r="E19" s="13" t="str">
        <f>HYPERLINK("https://youtu.be/Rsz4nnsyIUc","channel 1")</f>
        <v>channel 1</v>
      </c>
    </row>
    <row r="20">
      <c r="B20" s="72" t="s">
        <v>1465</v>
      </c>
      <c r="C20" s="73" t="s">
        <v>204</v>
      </c>
      <c r="D20" s="74" t="s">
        <v>706</v>
      </c>
      <c r="E20" s="66" t="str">
        <f>HYPERLINK("https://youtu.be/cDNnvnOPNMw","channel 2")</f>
        <v>channel 2</v>
      </c>
    </row>
    <row r="21">
      <c r="B21" s="72" t="s">
        <v>1352</v>
      </c>
      <c r="C21" s="75" t="s">
        <v>1203</v>
      </c>
      <c r="D21" s="74" t="s">
        <v>1700</v>
      </c>
      <c r="E21" s="13" t="str">
        <f>HYPERLINK("https://youtu.be/CEQwXuAj028","channel 1")</f>
        <v>channel 1</v>
      </c>
    </row>
    <row r="22">
      <c r="B22" s="72" t="s">
        <v>1772</v>
      </c>
      <c r="C22" s="75" t="s">
        <v>88</v>
      </c>
      <c r="D22" s="74" t="s">
        <v>706</v>
      </c>
      <c r="E22" s="66" t="str">
        <f>HYPERLINK("https://youtu.be/0U3HWGLHF3Y","channel 2")</f>
        <v>channel 2</v>
      </c>
    </row>
    <row r="23">
      <c r="B23" s="42" t="s">
        <v>1791</v>
      </c>
      <c r="C23" s="3"/>
      <c r="D23" s="3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1611</v>
      </c>
      <c r="C25" s="70" t="s">
        <v>319</v>
      </c>
      <c r="D25" s="71" t="s">
        <v>1842</v>
      </c>
      <c r="E25" s="13" t="str">
        <f>HYPERLINK("https://youtu.be/DT99Cwd4dG8","channel 1")</f>
        <v>channel 1</v>
      </c>
    </row>
    <row r="26">
      <c r="B26" s="72" t="s">
        <v>1843</v>
      </c>
      <c r="C26" s="73" t="s">
        <v>74</v>
      </c>
      <c r="D26" s="74" t="s">
        <v>1844</v>
      </c>
      <c r="E26" s="66" t="str">
        <f>HYPERLINK("https://youtu.be/Iz6zjMU-Zvo","channel 2")</f>
        <v>channel 2</v>
      </c>
    </row>
    <row r="27">
      <c r="B27" s="72" t="s">
        <v>1846</v>
      </c>
      <c r="C27" s="73" t="s">
        <v>49</v>
      </c>
      <c r="D27" s="74" t="s">
        <v>1611</v>
      </c>
      <c r="E27" s="13" t="str">
        <f>HYPERLINK("https://youtu.be/XYUJr9oWIuo","channel 1")</f>
        <v>channel 1</v>
      </c>
    </row>
    <row r="28">
      <c r="B28" s="72" t="s">
        <v>1843</v>
      </c>
      <c r="C28" s="73" t="s">
        <v>32</v>
      </c>
      <c r="D28" s="74" t="s">
        <v>1842</v>
      </c>
      <c r="E28" s="66" t="str">
        <f>HYPERLINK("https://youtu.be/VWb8Piw6CZw","channel 2")</f>
        <v>channel 2</v>
      </c>
    </row>
    <row r="29">
      <c r="B29" s="72" t="s">
        <v>1846</v>
      </c>
      <c r="C29" s="73" t="s">
        <v>143</v>
      </c>
      <c r="D29" s="74" t="s">
        <v>1844</v>
      </c>
      <c r="E29" s="13" t="str">
        <f>HYPERLINK("https://youtu.be/av9IGHQ6kcE","channel 1")</f>
        <v>channel 1</v>
      </c>
    </row>
    <row r="30">
      <c r="B30" s="72" t="s">
        <v>1843</v>
      </c>
      <c r="C30" s="73" t="s">
        <v>35</v>
      </c>
      <c r="D30" s="74" t="s">
        <v>1611</v>
      </c>
      <c r="E30" s="66" t="str">
        <f>HYPERLINK("https://youtu.be/lrOV1m3-PsE","channel 2")</f>
        <v>channel 2</v>
      </c>
    </row>
    <row r="31">
      <c r="B31" s="72" t="s">
        <v>1846</v>
      </c>
      <c r="C31" s="73" t="s">
        <v>47</v>
      </c>
      <c r="D31" s="74" t="s">
        <v>1842</v>
      </c>
      <c r="E31" s="13" t="str">
        <f>HYPERLINK("https://youtu.be/YXO9d5n2BHs","channel 1")</f>
        <v>channel 1</v>
      </c>
    </row>
    <row r="32">
      <c r="B32" s="72" t="s">
        <v>1844</v>
      </c>
      <c r="C32" s="73" t="s">
        <v>32</v>
      </c>
      <c r="D32" s="74" t="s">
        <v>1611</v>
      </c>
      <c r="E32" s="66" t="str">
        <f>HYPERLINK("https://youtu.be/SzcjuzgSpYQ","channel 2")</f>
        <v>channel 2</v>
      </c>
    </row>
    <row r="33">
      <c r="B33" s="72" t="s">
        <v>1846</v>
      </c>
      <c r="C33" s="73" t="s">
        <v>145</v>
      </c>
      <c r="D33" s="74" t="s">
        <v>1843</v>
      </c>
      <c r="E33" s="13" t="str">
        <f>HYPERLINK("https://youtu.be/7XoQMbLHs_U","channel 1")</f>
        <v>channel 1</v>
      </c>
    </row>
    <row r="34">
      <c r="B34" s="72" t="s">
        <v>1844</v>
      </c>
      <c r="C34" s="73" t="s">
        <v>145</v>
      </c>
      <c r="D34" s="74" t="s">
        <v>1842</v>
      </c>
      <c r="E34" s="66" t="str">
        <f>HYPERLINK("https://youtu.be/exSx-7d_ZO0","channel 2")</f>
        <v>channel 2</v>
      </c>
    </row>
    <row r="35">
      <c r="B35" s="72" t="s">
        <v>1842</v>
      </c>
      <c r="C35" s="73" t="s">
        <v>180</v>
      </c>
      <c r="D35" s="74" t="s">
        <v>1611</v>
      </c>
      <c r="E35" s="13" t="str">
        <f>HYPERLINK("https://youtu.be/v8K6AEgkvPk","channel 1")</f>
        <v>channel 1</v>
      </c>
    </row>
    <row r="36">
      <c r="B36" s="72" t="s">
        <v>1844</v>
      </c>
      <c r="C36" s="73" t="s">
        <v>32</v>
      </c>
      <c r="D36" s="74" t="s">
        <v>1843</v>
      </c>
      <c r="E36" s="66" t="str">
        <f>HYPERLINK("https://youtu.be/wDdPZzCOBZ8","channel 2")</f>
        <v>channel 2</v>
      </c>
    </row>
    <row r="37">
      <c r="B37" s="72" t="s">
        <v>1611</v>
      </c>
      <c r="C37" s="75" t="s">
        <v>43</v>
      </c>
      <c r="D37" s="74" t="s">
        <v>1846</v>
      </c>
      <c r="E37" s="13" t="str">
        <f>HYPERLINK("https://youtu.be/N1KyJ9TaZe8","channel 1")</f>
        <v>channel 1</v>
      </c>
    </row>
    <row r="38">
      <c r="B38" s="72" t="s">
        <v>1842</v>
      </c>
      <c r="C38" s="75" t="s">
        <v>37</v>
      </c>
      <c r="D38" s="74" t="s">
        <v>1843</v>
      </c>
      <c r="E38" s="66" t="str">
        <f>HYPERLINK("https://youtu.be/n9cWtndost8","channel 2")</f>
        <v>channel 2</v>
      </c>
    </row>
    <row r="39">
      <c r="B39" s="72" t="s">
        <v>1844</v>
      </c>
      <c r="C39" s="75" t="s">
        <v>141</v>
      </c>
      <c r="D39" s="74" t="s">
        <v>1846</v>
      </c>
      <c r="E39" s="13" t="str">
        <f>HYPERLINK("https://youtu.be/Cy7nZ44DWfQ","channel 1")</f>
        <v>channel 1</v>
      </c>
    </row>
    <row r="40">
      <c r="B40" s="72" t="s">
        <v>1611</v>
      </c>
      <c r="C40" s="75" t="s">
        <v>47</v>
      </c>
      <c r="D40" s="74" t="s">
        <v>1843</v>
      </c>
      <c r="E40" s="66" t="str">
        <f>HYPERLINK("https://youtu.be/so9N9yRYmLo","channel 2")</f>
        <v>channel 2</v>
      </c>
    </row>
    <row r="41">
      <c r="B41" s="72" t="s">
        <v>1842</v>
      </c>
      <c r="C41" s="73" t="s">
        <v>59</v>
      </c>
      <c r="D41" s="74" t="s">
        <v>1846</v>
      </c>
      <c r="E41" s="13" t="str">
        <f>HYPERLINK("https://youtu.be/W6Gx3P3mPjk","channel 1")</f>
        <v>channel 1</v>
      </c>
    </row>
    <row r="42">
      <c r="B42" s="72" t="s">
        <v>1611</v>
      </c>
      <c r="C42" s="73" t="s">
        <v>44</v>
      </c>
      <c r="D42" s="74" t="s">
        <v>1844</v>
      </c>
      <c r="E42" s="66" t="str">
        <f>HYPERLINK("https://youtu.be/hFJ4SuKYgh4","channel 2")</f>
        <v>channel 2</v>
      </c>
    </row>
    <row r="43">
      <c r="B43" s="72" t="s">
        <v>1843</v>
      </c>
      <c r="C43" s="75" t="s">
        <v>55</v>
      </c>
      <c r="D43" s="74" t="s">
        <v>1846</v>
      </c>
      <c r="E43" s="13" t="str">
        <f>HYPERLINK("https://youtu.be/0M2LA-g4Mrc","channel 1")</f>
        <v>channel 1</v>
      </c>
    </row>
    <row r="44">
      <c r="B44" s="72" t="s">
        <v>1842</v>
      </c>
      <c r="C44" s="75" t="s">
        <v>37</v>
      </c>
      <c r="D44" s="74" t="s">
        <v>1844</v>
      </c>
      <c r="E44" s="66" t="str">
        <f>HYPERLINK("https://youtu.be/QnONkiBnkS8","channel 2")</f>
        <v>channel 2</v>
      </c>
    </row>
    <row r="45">
      <c r="B45" s="57" t="s">
        <v>700</v>
      </c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1544</v>
      </c>
      <c r="C47" s="70" t="s">
        <v>32</v>
      </c>
      <c r="D47" s="71" t="s">
        <v>1083</v>
      </c>
      <c r="E47" s="13" t="str">
        <f>HYPERLINK("https://youtu.be/TcAUeGOuzKg","channel 1")</f>
        <v>channel 1</v>
      </c>
    </row>
    <row r="48">
      <c r="B48" s="72" t="s">
        <v>667</v>
      </c>
      <c r="C48" s="73" t="s">
        <v>570</v>
      </c>
      <c r="D48" s="74" t="s">
        <v>665</v>
      </c>
      <c r="E48" s="66" t="str">
        <f>HYPERLINK("https://youtu.be/04Ln0WokwI8","channel 2")</f>
        <v>channel 2</v>
      </c>
    </row>
    <row r="49">
      <c r="B49" s="72" t="s">
        <v>1494</v>
      </c>
      <c r="C49" s="73" t="s">
        <v>49</v>
      </c>
      <c r="D49" s="74" t="s">
        <v>1544</v>
      </c>
      <c r="E49" s="13" t="str">
        <f>HYPERLINK("https://youtu.be/kInqVUBRfzE","channel 1")</f>
        <v>channel 1</v>
      </c>
    </row>
    <row r="50">
      <c r="B50" s="72" t="s">
        <v>667</v>
      </c>
      <c r="C50" s="73" t="s">
        <v>24</v>
      </c>
      <c r="D50" s="74" t="s">
        <v>1083</v>
      </c>
      <c r="E50" s="66" t="str">
        <f>HYPERLINK("https://youtu.be/7trXU3drYJ0","channel 2")</f>
        <v>channel 2</v>
      </c>
    </row>
    <row r="51">
      <c r="B51" s="72" t="s">
        <v>1494</v>
      </c>
      <c r="C51" s="73" t="s">
        <v>84</v>
      </c>
      <c r="D51" s="74" t="s">
        <v>665</v>
      </c>
      <c r="E51" s="13" t="str">
        <f>HYPERLINK("https://youtu.be/x1gEe9UTpos","channel 1")</f>
        <v>channel 1</v>
      </c>
    </row>
    <row r="52">
      <c r="B52" s="72" t="s">
        <v>667</v>
      </c>
      <c r="C52" s="73" t="s">
        <v>108</v>
      </c>
      <c r="D52" s="74" t="s">
        <v>1544</v>
      </c>
      <c r="E52" s="66" t="str">
        <f>HYPERLINK("https://youtu.be/pyf7yesdCrc","channel 2")</f>
        <v>channel 2</v>
      </c>
    </row>
    <row r="53">
      <c r="B53" s="72" t="s">
        <v>1494</v>
      </c>
      <c r="C53" s="73" t="s">
        <v>571</v>
      </c>
      <c r="D53" s="74" t="s">
        <v>1083</v>
      </c>
      <c r="E53" s="13" t="str">
        <f>HYPERLINK("https://youtu.be/t71zVsJFpIg","channel 1")</f>
        <v>channel 1</v>
      </c>
    </row>
    <row r="54">
      <c r="B54" s="72" t="s">
        <v>665</v>
      </c>
      <c r="C54" s="73" t="s">
        <v>452</v>
      </c>
      <c r="D54" s="74" t="s">
        <v>1544</v>
      </c>
      <c r="E54" s="66" t="str">
        <f>HYPERLINK("https://youtu.be/6HohIvZLYY8","channel 2")</f>
        <v>channel 2</v>
      </c>
    </row>
    <row r="55">
      <c r="B55" s="72" t="s">
        <v>1494</v>
      </c>
      <c r="C55" s="73" t="s">
        <v>232</v>
      </c>
      <c r="D55" s="74" t="s">
        <v>667</v>
      </c>
      <c r="E55" s="13" t="str">
        <f>HYPERLINK("https://youtu.be/3nPk2NewVsg","channel 1")</f>
        <v>channel 1</v>
      </c>
    </row>
    <row r="56">
      <c r="B56" s="72" t="s">
        <v>665</v>
      </c>
      <c r="C56" s="73" t="s">
        <v>34</v>
      </c>
      <c r="D56" s="74" t="s">
        <v>1083</v>
      </c>
      <c r="E56" s="66" t="str">
        <f>HYPERLINK("https://youtu.be/k-AY8nMCrzo","channel 2")</f>
        <v>channel 2</v>
      </c>
    </row>
    <row r="57">
      <c r="B57" s="72" t="s">
        <v>1083</v>
      </c>
      <c r="C57" s="73" t="s">
        <v>108</v>
      </c>
      <c r="D57" s="74" t="s">
        <v>1544</v>
      </c>
      <c r="E57" s="13" t="str">
        <f>HYPERLINK("https://youtu.be/jp25VN-MFl4","channel 1")</f>
        <v>channel 1</v>
      </c>
    </row>
    <row r="58">
      <c r="B58" s="72" t="s">
        <v>665</v>
      </c>
      <c r="C58" s="73" t="s">
        <v>338</v>
      </c>
      <c r="D58" s="74" t="s">
        <v>667</v>
      </c>
      <c r="E58" s="66" t="str">
        <f>HYPERLINK("https://youtu.be/kah414ZQZdI","channel 2")</f>
        <v>channel 2</v>
      </c>
    </row>
    <row r="59">
      <c r="B59" s="72" t="s">
        <v>1544</v>
      </c>
      <c r="C59" s="75" t="s">
        <v>46</v>
      </c>
      <c r="D59" s="74" t="s">
        <v>1494</v>
      </c>
      <c r="E59" s="13" t="str">
        <f>HYPERLINK("https://youtu.be/G92Cl8p-9R8","channel 1")</f>
        <v>channel 1</v>
      </c>
    </row>
    <row r="60">
      <c r="B60" s="72" t="s">
        <v>1083</v>
      </c>
      <c r="C60" s="75" t="s">
        <v>108</v>
      </c>
      <c r="D60" s="74" t="s">
        <v>667</v>
      </c>
      <c r="E60" s="66" t="str">
        <f>HYPERLINK("https://youtu.be/IPi0HYOTWjw","channel 2")</f>
        <v>channel 2</v>
      </c>
    </row>
    <row r="61">
      <c r="B61" s="72" t="s">
        <v>665</v>
      </c>
      <c r="C61" s="75" t="s">
        <v>88</v>
      </c>
      <c r="D61" s="74" t="s">
        <v>1494</v>
      </c>
      <c r="E61" s="13" t="str">
        <f>HYPERLINK("https://youtu.be/-cSmpXLyfwo","channel 1")</f>
        <v>channel 1</v>
      </c>
    </row>
    <row r="62">
      <c r="B62" s="72" t="s">
        <v>1544</v>
      </c>
      <c r="C62" s="75" t="s">
        <v>184</v>
      </c>
      <c r="D62" s="74" t="s">
        <v>667</v>
      </c>
      <c r="E62" s="66" t="str">
        <f>HYPERLINK("https://youtu.be/5CQVsxOghE8","channel 2")</f>
        <v>channel 2</v>
      </c>
    </row>
    <row r="63">
      <c r="B63" s="72" t="s">
        <v>1083</v>
      </c>
      <c r="C63" s="73" t="s">
        <v>49</v>
      </c>
      <c r="D63" s="74" t="s">
        <v>1494</v>
      </c>
      <c r="E63" s="13" t="str">
        <f>HYPERLINK("https://youtu.be/LTw4YpKC_1E","channel 1")</f>
        <v>channel 1</v>
      </c>
    </row>
    <row r="64">
      <c r="B64" s="72" t="s">
        <v>1544</v>
      </c>
      <c r="C64" s="73" t="s">
        <v>281</v>
      </c>
      <c r="D64" s="74" t="s">
        <v>665</v>
      </c>
      <c r="E64" s="66" t="str">
        <f>HYPERLINK("https://youtu.be/clj5fpdvLO4","channel 2")</f>
        <v>channel 2</v>
      </c>
    </row>
    <row r="65">
      <c r="B65" s="72" t="s">
        <v>667</v>
      </c>
      <c r="C65" s="75" t="s">
        <v>226</v>
      </c>
      <c r="D65" s="74" t="s">
        <v>1494</v>
      </c>
      <c r="E65" s="13" t="str">
        <f>HYPERLINK("https://youtu.be/dFbNUNe7Oi4","channel 1")</f>
        <v>channel 1</v>
      </c>
    </row>
    <row r="66">
      <c r="B66" s="72" t="s">
        <v>1083</v>
      </c>
      <c r="C66" s="75" t="s">
        <v>498</v>
      </c>
      <c r="D66" s="74" t="s">
        <v>665</v>
      </c>
      <c r="E66" s="66" t="str">
        <f>HYPERLINK("https://youtu.be/TuqonA9-dU0","channel 2")</f>
        <v>channel 2</v>
      </c>
    </row>
    <row r="67">
      <c r="B67" s="57" t="s">
        <v>229</v>
      </c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1856</v>
      </c>
      <c r="C69" s="70" t="s">
        <v>124</v>
      </c>
      <c r="D69" s="71" t="s">
        <v>1857</v>
      </c>
      <c r="E69" s="13" t="str">
        <f>HYPERLINK("https://youtu.be/Wp2Kx6nfQeY","channel 1")</f>
        <v>channel 1</v>
      </c>
    </row>
    <row r="70">
      <c r="B70" s="72" t="s">
        <v>1858</v>
      </c>
      <c r="C70" s="73" t="s">
        <v>940</v>
      </c>
      <c r="D70" s="74" t="s">
        <v>626</v>
      </c>
      <c r="E70" s="66" t="str">
        <f>HYPERLINK("https://youtu.be/8SBRojEtGBE","channel 2")</f>
        <v>channel 2</v>
      </c>
    </row>
    <row r="71">
      <c r="B71" s="72" t="s">
        <v>1859</v>
      </c>
      <c r="C71" s="73" t="s">
        <v>57</v>
      </c>
      <c r="D71" s="74" t="s">
        <v>1856</v>
      </c>
      <c r="E71" s="13" t="str">
        <f>HYPERLINK("https://youtu.be/V7YuzS5d1y0","channel 1")</f>
        <v>channel 1</v>
      </c>
    </row>
    <row r="72">
      <c r="B72" s="72" t="s">
        <v>1858</v>
      </c>
      <c r="C72" s="73" t="s">
        <v>85</v>
      </c>
      <c r="D72" s="74" t="s">
        <v>1857</v>
      </c>
      <c r="E72" s="66" t="str">
        <f>HYPERLINK("https://youtu.be/LZ1CJZJgVqU","channel 2")</f>
        <v>channel 2</v>
      </c>
    </row>
    <row r="73">
      <c r="B73" s="72" t="s">
        <v>1859</v>
      </c>
      <c r="C73" s="73" t="s">
        <v>160</v>
      </c>
      <c r="D73" s="74" t="s">
        <v>626</v>
      </c>
      <c r="E73" s="13" t="str">
        <f>HYPERLINK("https://youtu.be/36a17_0EFeQ","channel 1")</f>
        <v>channel 1</v>
      </c>
    </row>
    <row r="74">
      <c r="B74" s="72" t="s">
        <v>1858</v>
      </c>
      <c r="C74" s="73" t="s">
        <v>191</v>
      </c>
      <c r="D74" s="74" t="s">
        <v>1856</v>
      </c>
      <c r="E74" s="66" t="str">
        <f>HYPERLINK("https://youtu.be/FnjvuChlN4I","channel 2")</f>
        <v>channel 2</v>
      </c>
    </row>
    <row r="75">
      <c r="B75" s="72" t="s">
        <v>1859</v>
      </c>
      <c r="C75" s="73" t="s">
        <v>10</v>
      </c>
      <c r="D75" s="74" t="s">
        <v>1857</v>
      </c>
      <c r="E75" s="13" t="str">
        <f>HYPERLINK("https://youtu.be/NCGIZ9PwQUA","channel 1")</f>
        <v>channel 1</v>
      </c>
    </row>
    <row r="76">
      <c r="B76" s="72" t="s">
        <v>626</v>
      </c>
      <c r="C76" s="73" t="s">
        <v>89</v>
      </c>
      <c r="D76" s="74" t="s">
        <v>1856</v>
      </c>
      <c r="E76" s="66" t="str">
        <f>HYPERLINK("https://youtu.be/NoWoSOU7Tx4","channel 2")</f>
        <v>channel 2</v>
      </c>
    </row>
    <row r="77">
      <c r="B77" s="72" t="s">
        <v>1859</v>
      </c>
      <c r="C77" s="73" t="s">
        <v>105</v>
      </c>
      <c r="D77" s="74" t="s">
        <v>1858</v>
      </c>
      <c r="E77" s="13" t="str">
        <f>HYPERLINK("https://youtu.be/_yEzscwrR6I","channel 1")</f>
        <v>channel 1</v>
      </c>
    </row>
    <row r="78">
      <c r="B78" s="72" t="s">
        <v>626</v>
      </c>
      <c r="C78" s="73" t="s">
        <v>1623</v>
      </c>
      <c r="D78" s="74" t="s">
        <v>1857</v>
      </c>
      <c r="E78" s="66" t="str">
        <f>HYPERLINK("https://youtu.be/CujeMxlPvw4","channel 2")</f>
        <v>channel 2</v>
      </c>
    </row>
    <row r="79">
      <c r="B79" s="72" t="s">
        <v>1857</v>
      </c>
      <c r="C79" s="73" t="s">
        <v>226</v>
      </c>
      <c r="D79" s="74" t="s">
        <v>1856</v>
      </c>
      <c r="E79" s="13" t="str">
        <f>HYPERLINK("https://youtu.be/K6HzMRfIu9A","channel 1")</f>
        <v>channel 1</v>
      </c>
    </row>
    <row r="80">
      <c r="B80" s="72" t="s">
        <v>626</v>
      </c>
      <c r="C80" s="73" t="s">
        <v>551</v>
      </c>
      <c r="D80" s="74" t="s">
        <v>1858</v>
      </c>
      <c r="E80" s="66" t="str">
        <f>HYPERLINK("https://youtu.be/cXxZhZC-ncc","channel 2")</f>
        <v>channel 2</v>
      </c>
    </row>
    <row r="81">
      <c r="B81" s="72" t="s">
        <v>1856</v>
      </c>
      <c r="C81" s="75" t="s">
        <v>20</v>
      </c>
      <c r="D81" s="74" t="s">
        <v>1859</v>
      </c>
      <c r="E81" s="13" t="str">
        <f>HYPERLINK("https://youtu.be/uc3Q0xrdXnY","channel 1")</f>
        <v>channel 1</v>
      </c>
    </row>
    <row r="82">
      <c r="B82" s="72" t="s">
        <v>1857</v>
      </c>
      <c r="C82" s="75" t="s">
        <v>93</v>
      </c>
      <c r="D82" s="74" t="s">
        <v>1858</v>
      </c>
      <c r="E82" s="66" t="str">
        <f>HYPERLINK("https://youtu.be/fu1hPyvXxIU","channel 2")</f>
        <v>channel 2</v>
      </c>
    </row>
    <row r="83">
      <c r="B83" s="72" t="s">
        <v>626</v>
      </c>
      <c r="C83" s="75" t="s">
        <v>34</v>
      </c>
      <c r="D83" s="74" t="s">
        <v>1859</v>
      </c>
      <c r="E83" s="13" t="str">
        <f>HYPERLINK("https://youtu.be/zUcnBY62jN8","channel 1")</f>
        <v>channel 1</v>
      </c>
    </row>
    <row r="84">
      <c r="B84" s="72" t="s">
        <v>1856</v>
      </c>
      <c r="C84" s="75" t="s">
        <v>477</v>
      </c>
      <c r="D84" s="74" t="s">
        <v>1858</v>
      </c>
      <c r="E84" s="66" t="str">
        <f>HYPERLINK("https://youtu.be/5MXnqxlmB2w","channel 2")</f>
        <v>channel 2</v>
      </c>
    </row>
    <row r="85">
      <c r="B85" s="72" t="s">
        <v>1857</v>
      </c>
      <c r="C85" s="73" t="s">
        <v>30</v>
      </c>
      <c r="D85" s="74" t="s">
        <v>1859</v>
      </c>
      <c r="E85" s="13" t="str">
        <f>HYPERLINK("https://youtu.be/pP0Nh0bG_mA","channel 1")</f>
        <v>channel 1</v>
      </c>
    </row>
    <row r="86">
      <c r="B86" s="72" t="s">
        <v>1856</v>
      </c>
      <c r="C86" s="73" t="s">
        <v>109</v>
      </c>
      <c r="D86" s="74" t="s">
        <v>626</v>
      </c>
      <c r="E86" s="66" t="str">
        <f>HYPERLINK("https://youtu.be/R6do05OUB2c","channel 2")</f>
        <v>channel 2</v>
      </c>
    </row>
    <row r="87">
      <c r="B87" s="72" t="s">
        <v>1858</v>
      </c>
      <c r="C87" s="75" t="s">
        <v>180</v>
      </c>
      <c r="D87" s="74" t="s">
        <v>1859</v>
      </c>
      <c r="E87" s="13" t="str">
        <f>HYPERLINK("https://youtu.be/bQNe342A2e4","channel 1")</f>
        <v>channel 1</v>
      </c>
    </row>
    <row r="88">
      <c r="B88" s="72" t="s">
        <v>1857</v>
      </c>
      <c r="C88" s="75" t="s">
        <v>1781</v>
      </c>
      <c r="D88" s="74" t="s">
        <v>626</v>
      </c>
      <c r="E88" s="66" t="str">
        <f>HYPERLINK("https://youtu.be/kjVyKV27gHE","channel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1821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1617</v>
      </c>
      <c r="C3" s="70" t="s">
        <v>1822</v>
      </c>
      <c r="D3" s="71" t="s">
        <v>1619</v>
      </c>
      <c r="E3" s="13" t="str">
        <f>HYPERLINK("https://youtu.be/re8Owp09cPM","channel 1")</f>
        <v>channel 1</v>
      </c>
    </row>
    <row r="4">
      <c r="B4" s="72" t="s">
        <v>1823</v>
      </c>
      <c r="C4" s="73" t="s">
        <v>1824</v>
      </c>
      <c r="D4" s="74" t="s">
        <v>1825</v>
      </c>
      <c r="E4" s="66" t="str">
        <f>HYPERLINK("https://youtu.be/A60UGEPmcDs","channel 2")</f>
        <v>channel 2</v>
      </c>
    </row>
    <row r="5">
      <c r="B5" s="72" t="s">
        <v>236</v>
      </c>
      <c r="C5" s="73" t="s">
        <v>1826</v>
      </c>
      <c r="D5" s="74" t="s">
        <v>1617</v>
      </c>
      <c r="E5" s="13" t="str">
        <f>HYPERLINK("https://youtu.be/8KtMUUv_c10","channel 1")</f>
        <v>channel 1</v>
      </c>
    </row>
    <row r="6">
      <c r="B6" s="72" t="s">
        <v>1823</v>
      </c>
      <c r="C6" s="73" t="s">
        <v>1827</v>
      </c>
      <c r="D6" s="74" t="s">
        <v>1619</v>
      </c>
      <c r="E6" s="66" t="str">
        <f>HYPERLINK("https://youtu.be/WF5CacIKLVg","channel 2")</f>
        <v>channel 2</v>
      </c>
    </row>
    <row r="7">
      <c r="B7" s="72" t="s">
        <v>236</v>
      </c>
      <c r="C7" s="73" t="s">
        <v>1826</v>
      </c>
      <c r="D7" s="74" t="s">
        <v>1825</v>
      </c>
      <c r="E7" s="13" t="str">
        <f>HYPERLINK("https://youtu.be/26RiabLm1XI","channel 1")</f>
        <v>channel 1</v>
      </c>
    </row>
    <row r="8">
      <c r="B8" s="72" t="s">
        <v>1823</v>
      </c>
      <c r="C8" s="73" t="s">
        <v>1824</v>
      </c>
      <c r="D8" s="74" t="s">
        <v>1617</v>
      </c>
      <c r="E8" s="66" t="str">
        <f>HYPERLINK("https://youtu.be/DBDGw6_5NhI","channel 2")</f>
        <v>channel 2</v>
      </c>
    </row>
    <row r="9">
      <c r="B9" s="72" t="s">
        <v>236</v>
      </c>
      <c r="C9" s="73" t="s">
        <v>1827</v>
      </c>
      <c r="D9" s="74" t="s">
        <v>1619</v>
      </c>
      <c r="E9" s="13" t="str">
        <f>HYPERLINK("https://youtu.be/bVHXWlvSe98","channel 1")</f>
        <v>channel 1</v>
      </c>
    </row>
    <row r="10">
      <c r="B10" s="72" t="s">
        <v>1825</v>
      </c>
      <c r="C10" s="73" t="s">
        <v>1828</v>
      </c>
      <c r="D10" s="74" t="s">
        <v>1617</v>
      </c>
      <c r="E10" s="66" t="str">
        <f>HYPERLINK("https://youtu.be/_jpuZdgrOI4","channel 2")</f>
        <v>channel 2</v>
      </c>
    </row>
    <row r="11">
      <c r="B11" s="72" t="s">
        <v>236</v>
      </c>
      <c r="C11" s="73" t="s">
        <v>1829</v>
      </c>
      <c r="D11" s="74" t="s">
        <v>1823</v>
      </c>
      <c r="E11" s="13" t="str">
        <f>HYPERLINK("https://youtu.be/AbFqdiB6z6Q","channel 1")</f>
        <v>channel 1</v>
      </c>
    </row>
    <row r="12">
      <c r="B12" s="72" t="s">
        <v>1825</v>
      </c>
      <c r="C12" s="73" t="s">
        <v>1830</v>
      </c>
      <c r="D12" s="74" t="s">
        <v>1619</v>
      </c>
      <c r="E12" s="66" t="str">
        <f>HYPERLINK("https://youtu.be/I5TQxOnGw0Y","channel 2")</f>
        <v>channel 2</v>
      </c>
    </row>
    <row r="13">
      <c r="B13" s="72" t="s">
        <v>1619</v>
      </c>
      <c r="C13" s="73" t="s">
        <v>1831</v>
      </c>
      <c r="D13" s="74" t="s">
        <v>1617</v>
      </c>
      <c r="E13" s="13" t="str">
        <f>HYPERLINK("https://youtu.be/A-dW7D_aiGs","channel 1")</f>
        <v>channel 1</v>
      </c>
    </row>
    <row r="14">
      <c r="B14" s="72" t="s">
        <v>1825</v>
      </c>
      <c r="C14" s="73" t="s">
        <v>1824</v>
      </c>
      <c r="D14" s="74" t="s">
        <v>1823</v>
      </c>
      <c r="E14" s="66" t="str">
        <f>HYPERLINK("https://youtu.be/nBRD_xhJQCE","channel 2")</f>
        <v>channel 2</v>
      </c>
    </row>
    <row r="15">
      <c r="B15" s="72" t="s">
        <v>1617</v>
      </c>
      <c r="C15" s="75" t="s">
        <v>1832</v>
      </c>
      <c r="D15" s="74" t="s">
        <v>236</v>
      </c>
      <c r="E15" s="13" t="str">
        <f>HYPERLINK("https://youtu.be/ne9bvl7lagE","channel 1")</f>
        <v>channel 1</v>
      </c>
    </row>
    <row r="16">
      <c r="B16" s="72" t="s">
        <v>1619</v>
      </c>
      <c r="C16" s="75" t="s">
        <v>1833</v>
      </c>
      <c r="D16" s="74" t="s">
        <v>1823</v>
      </c>
      <c r="E16" s="66" t="str">
        <f>HYPERLINK("https://youtu.be/x2vycMYLyHk","channel 2")</f>
        <v>channel 2</v>
      </c>
    </row>
    <row r="17">
      <c r="B17" s="72" t="s">
        <v>1825</v>
      </c>
      <c r="C17" s="75" t="s">
        <v>1824</v>
      </c>
      <c r="D17" s="74" t="s">
        <v>236</v>
      </c>
      <c r="E17" s="13" t="str">
        <f>HYPERLINK("https://youtu.be/Du2h_m6vfwQ","channel 1")</f>
        <v>channel 1</v>
      </c>
    </row>
    <row r="18">
      <c r="B18" s="72" t="s">
        <v>1617</v>
      </c>
      <c r="C18" s="75" t="s">
        <v>1833</v>
      </c>
      <c r="D18" s="74" t="s">
        <v>1823</v>
      </c>
      <c r="E18" s="66" t="str">
        <f>HYPERLINK("https://youtu.be/gnQBbc6qu84","channel 2")</f>
        <v>channel 2</v>
      </c>
    </row>
    <row r="19">
      <c r="B19" s="72" t="s">
        <v>1619</v>
      </c>
      <c r="C19" s="73" t="s">
        <v>1834</v>
      </c>
      <c r="D19" s="74" t="s">
        <v>236</v>
      </c>
      <c r="E19" s="13" t="str">
        <f>HYPERLINK("https://youtu.be/0-oSoZDDkCE","channel 1")</f>
        <v>channel 1</v>
      </c>
    </row>
    <row r="20">
      <c r="B20" s="72" t="s">
        <v>1617</v>
      </c>
      <c r="C20" s="73" t="s">
        <v>1835</v>
      </c>
      <c r="D20" s="74" t="s">
        <v>1825</v>
      </c>
      <c r="E20" s="66" t="str">
        <f>HYPERLINK("https://youtu.be/2EivT8L_uh0","channel 2")</f>
        <v>channel 2</v>
      </c>
    </row>
    <row r="21">
      <c r="B21" s="72" t="s">
        <v>1823</v>
      </c>
      <c r="C21" s="75" t="s">
        <v>1836</v>
      </c>
      <c r="D21" s="74" t="s">
        <v>236</v>
      </c>
      <c r="E21" s="13" t="str">
        <f>HYPERLINK("https://youtu.be/I-_lIfI9Meg","channel 1")</f>
        <v>channel 1</v>
      </c>
    </row>
    <row r="22">
      <c r="B22" s="72" t="s">
        <v>1619</v>
      </c>
      <c r="C22" s="75" t="s">
        <v>1837</v>
      </c>
      <c r="D22" s="74" t="s">
        <v>1825</v>
      </c>
      <c r="E22" s="66" t="str">
        <f>HYPERLINK("https://youtu.be/9IQwB5JDnX0","channel 2")</f>
        <v>channel 2</v>
      </c>
    </row>
    <row r="23">
      <c r="B23" s="42" t="s">
        <v>1838</v>
      </c>
      <c r="C23" s="3"/>
      <c r="D23" s="3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856</v>
      </c>
      <c r="C25" s="70" t="s">
        <v>1824</v>
      </c>
      <c r="D25" s="71" t="s">
        <v>1839</v>
      </c>
      <c r="E25" s="13" t="str">
        <f>HYPERLINK("https://youtu.be/Nr-k9DhqpIM","channel 1")</f>
        <v>channel 1</v>
      </c>
    </row>
    <row r="26">
      <c r="B26" s="72" t="s">
        <v>699</v>
      </c>
      <c r="C26" s="73" t="s">
        <v>1840</v>
      </c>
      <c r="D26" s="74" t="s">
        <v>799</v>
      </c>
      <c r="E26" s="66" t="str">
        <f>HYPERLINK("https://youtu.be/mJvCjuG2W0Q","channel 2")</f>
        <v>channel 2</v>
      </c>
    </row>
    <row r="27">
      <c r="B27" s="72" t="s">
        <v>209</v>
      </c>
      <c r="C27" s="73" t="s">
        <v>1841</v>
      </c>
      <c r="D27" s="74" t="s">
        <v>856</v>
      </c>
      <c r="E27" s="13" t="str">
        <f>HYPERLINK("https://youtu.be/Hu7mbpx3-0Y","channel 1")</f>
        <v>channel 1</v>
      </c>
    </row>
    <row r="28">
      <c r="B28" s="72" t="s">
        <v>699</v>
      </c>
      <c r="C28" s="73" t="s">
        <v>1837</v>
      </c>
      <c r="D28" s="74" t="s">
        <v>1839</v>
      </c>
      <c r="E28" s="66" t="str">
        <f>HYPERLINK("https://youtu.be/GZp59AEA1js","channel 2")</f>
        <v>channel 2</v>
      </c>
    </row>
    <row r="29">
      <c r="B29" s="72" t="s">
        <v>209</v>
      </c>
      <c r="C29" s="73" t="s">
        <v>1832</v>
      </c>
      <c r="D29" s="74" t="s">
        <v>799</v>
      </c>
      <c r="E29" s="13" t="str">
        <f>HYPERLINK("https://youtu.be/rePV6-oHNC4","channel 1")</f>
        <v>channel 1</v>
      </c>
    </row>
    <row r="30">
      <c r="B30" s="72" t="s">
        <v>699</v>
      </c>
      <c r="C30" s="73" t="s">
        <v>1845</v>
      </c>
      <c r="D30" s="74" t="s">
        <v>856</v>
      </c>
      <c r="E30" s="66" t="str">
        <f>HYPERLINK("https://youtu.be/GDZiAHtlfvA","channel 2")</f>
        <v>channel 2</v>
      </c>
    </row>
    <row r="31">
      <c r="B31" s="72" t="s">
        <v>209</v>
      </c>
      <c r="C31" s="73" t="s">
        <v>1847</v>
      </c>
      <c r="D31" s="74" t="s">
        <v>1839</v>
      </c>
      <c r="E31" s="13" t="str">
        <f>HYPERLINK("https://youtu.be/adDsXRSndT0","channel 1")</f>
        <v>channel 1</v>
      </c>
    </row>
    <row r="32">
      <c r="B32" s="72" t="s">
        <v>799</v>
      </c>
      <c r="C32" s="73" t="s">
        <v>1848</v>
      </c>
      <c r="D32" s="74" t="s">
        <v>856</v>
      </c>
      <c r="E32" s="66" t="str">
        <f>HYPERLINK("https://youtu.be/L1_BNJoShpg","channel 2")</f>
        <v>channel 2</v>
      </c>
    </row>
    <row r="33">
      <c r="B33" s="72" t="s">
        <v>209</v>
      </c>
      <c r="C33" s="73" t="s">
        <v>1833</v>
      </c>
      <c r="D33" s="74" t="s">
        <v>699</v>
      </c>
      <c r="E33" s="13" t="str">
        <f>HYPERLINK("https://youtu.be/_KyES3S16EQ","channel 1")</f>
        <v>channel 1</v>
      </c>
    </row>
    <row r="34">
      <c r="B34" s="72" t="s">
        <v>799</v>
      </c>
      <c r="C34" s="73" t="s">
        <v>1828</v>
      </c>
      <c r="D34" s="74" t="s">
        <v>1839</v>
      </c>
      <c r="E34" s="66" t="str">
        <f>HYPERLINK("https://youtu.be/2yDGQZo0yUk","channel 2")</f>
        <v>channel 2</v>
      </c>
    </row>
    <row r="35">
      <c r="B35" s="72" t="s">
        <v>1839</v>
      </c>
      <c r="C35" s="73" t="s">
        <v>1826</v>
      </c>
      <c r="D35" s="74" t="s">
        <v>856</v>
      </c>
      <c r="E35" s="13" t="str">
        <f>HYPERLINK("https://youtu.be/PmjxfPOMwmk","channel 1")</f>
        <v>channel 1</v>
      </c>
    </row>
    <row r="36">
      <c r="B36" s="72" t="s">
        <v>799</v>
      </c>
      <c r="C36" s="73" t="s">
        <v>1834</v>
      </c>
      <c r="D36" s="74" t="s">
        <v>699</v>
      </c>
      <c r="E36" s="66" t="str">
        <f>HYPERLINK("https://youtu.be/tZLcTGtHI5M","channel 2")</f>
        <v>channel 2</v>
      </c>
    </row>
    <row r="37">
      <c r="B37" s="72" t="s">
        <v>856</v>
      </c>
      <c r="C37" s="75" t="s">
        <v>1830</v>
      </c>
      <c r="D37" s="74" t="s">
        <v>209</v>
      </c>
      <c r="E37" s="13" t="str">
        <f>HYPERLINK("https://youtu.be/FbnztQ5pxPQ","channel 1")</f>
        <v>channel 1</v>
      </c>
    </row>
    <row r="38">
      <c r="B38" s="72" t="s">
        <v>1839</v>
      </c>
      <c r="C38" s="75" t="s">
        <v>1837</v>
      </c>
      <c r="D38" s="74" t="s">
        <v>699</v>
      </c>
      <c r="E38" s="66" t="str">
        <f>HYPERLINK("https://youtu.be/3XZZW8WgfhI","channel 2")</f>
        <v>channel 2</v>
      </c>
    </row>
    <row r="39">
      <c r="B39" s="72" t="s">
        <v>799</v>
      </c>
      <c r="C39" s="75" t="s">
        <v>1849</v>
      </c>
      <c r="D39" s="74" t="s">
        <v>209</v>
      </c>
      <c r="E39" s="13" t="str">
        <f>HYPERLINK("https://youtu.be/Frdg0XqCe8w","channel 1")</f>
        <v>channel 1</v>
      </c>
    </row>
    <row r="40">
      <c r="B40" s="72" t="s">
        <v>856</v>
      </c>
      <c r="C40" s="75" t="s">
        <v>1833</v>
      </c>
      <c r="D40" s="74" t="s">
        <v>699</v>
      </c>
      <c r="E40" s="66" t="str">
        <f>HYPERLINK("https://youtu.be/KVQ_luKTa_k","channel 2")</f>
        <v>channel 2</v>
      </c>
    </row>
    <row r="41">
      <c r="B41" s="72" t="s">
        <v>1839</v>
      </c>
      <c r="C41" s="73" t="s">
        <v>1834</v>
      </c>
      <c r="D41" s="74" t="s">
        <v>209</v>
      </c>
      <c r="E41" s="13" t="str">
        <f>HYPERLINK("https://youtu.be/cJLtsUus01Y","channel 1")</f>
        <v>channel 1</v>
      </c>
    </row>
    <row r="42">
      <c r="B42" s="72" t="s">
        <v>856</v>
      </c>
      <c r="C42" s="73" t="s">
        <v>1830</v>
      </c>
      <c r="D42" s="74" t="s">
        <v>799</v>
      </c>
      <c r="E42" s="66" t="str">
        <f>HYPERLINK("https://youtu.be/_yWLWMXeqDM","channel 2")</f>
        <v>channel 2</v>
      </c>
    </row>
    <row r="43">
      <c r="B43" s="72" t="s">
        <v>699</v>
      </c>
      <c r="C43" s="75" t="s">
        <v>1847</v>
      </c>
      <c r="D43" s="74" t="s">
        <v>209</v>
      </c>
      <c r="E43" s="13" t="str">
        <f>HYPERLINK("https://youtu.be/ukAlHH3Neg8","channel 1")</f>
        <v>channel 1</v>
      </c>
    </row>
    <row r="44">
      <c r="B44" s="72" t="s">
        <v>1839</v>
      </c>
      <c r="C44" s="75" t="s">
        <v>1849</v>
      </c>
      <c r="D44" s="74" t="s">
        <v>799</v>
      </c>
      <c r="E44" s="66" t="str">
        <f>HYPERLINK("https://youtu.be/q4HEYX99GI0","channel 2")</f>
        <v>channel 2</v>
      </c>
    </row>
    <row r="45">
      <c r="B45" s="118" t="s">
        <v>112</v>
      </c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582</v>
      </c>
      <c r="C47" s="70" t="s">
        <v>1850</v>
      </c>
      <c r="D47" s="71" t="s">
        <v>215</v>
      </c>
      <c r="E47" s="13" t="str">
        <f>HYPERLINK("https://youtu.be/zU-8ir6DmJs","channel 1")</f>
        <v>channel 1</v>
      </c>
    </row>
    <row r="48">
      <c r="B48" s="72" t="s">
        <v>1017</v>
      </c>
      <c r="C48" s="73" t="s">
        <v>1824</v>
      </c>
      <c r="D48" s="74" t="s">
        <v>1088</v>
      </c>
      <c r="E48" s="66" t="str">
        <f>HYPERLINK("https://youtu.be/XKSxtf4p0aE","channel 2")</f>
        <v>channel 2</v>
      </c>
    </row>
    <row r="49">
      <c r="B49" s="72" t="s">
        <v>705</v>
      </c>
      <c r="C49" s="73" t="s">
        <v>1840</v>
      </c>
      <c r="D49" s="74" t="s">
        <v>582</v>
      </c>
      <c r="E49" s="13" t="str">
        <f>HYPERLINK("https://youtu.be/-RcWgWI9Zk0","channel 1")</f>
        <v>channel 1</v>
      </c>
    </row>
    <row r="50">
      <c r="B50" s="72" t="s">
        <v>1017</v>
      </c>
      <c r="C50" s="73" t="s">
        <v>1824</v>
      </c>
      <c r="D50" s="74" t="s">
        <v>215</v>
      </c>
      <c r="E50" s="66" t="str">
        <f>HYPERLINK("https://youtu.be/qDAE3JNv-ds","channel 2")</f>
        <v>channel 2</v>
      </c>
    </row>
    <row r="51">
      <c r="B51" s="72" t="s">
        <v>705</v>
      </c>
      <c r="C51" s="73" t="s">
        <v>1826</v>
      </c>
      <c r="D51" s="74" t="s">
        <v>1088</v>
      </c>
      <c r="E51" s="13" t="str">
        <f>HYPERLINK("https://youtu.be/O7PwoJimslw","channel 1")</f>
        <v>channel 1</v>
      </c>
    </row>
    <row r="52">
      <c r="B52" s="72" t="s">
        <v>1017</v>
      </c>
      <c r="C52" s="73" t="s">
        <v>1824</v>
      </c>
      <c r="D52" s="74" t="s">
        <v>582</v>
      </c>
      <c r="E52" s="66" t="str">
        <f>HYPERLINK("https://youtu.be/erx79H-MEU4","channel 2")</f>
        <v>channel 2</v>
      </c>
    </row>
    <row r="53">
      <c r="B53" s="72" t="s">
        <v>705</v>
      </c>
      <c r="C53" s="73" t="s">
        <v>1851</v>
      </c>
      <c r="D53" s="74" t="s">
        <v>215</v>
      </c>
      <c r="E53" s="13" t="str">
        <f>HYPERLINK("https://youtu.be/w3_ME1ra6gQ","channel 1")</f>
        <v>channel 1</v>
      </c>
    </row>
    <row r="54">
      <c r="B54" s="72" t="s">
        <v>1088</v>
      </c>
      <c r="C54" s="73" t="s">
        <v>1852</v>
      </c>
      <c r="D54" s="74" t="s">
        <v>582</v>
      </c>
      <c r="E54" s="66" t="str">
        <f>HYPERLINK("https://youtu.be/-zLmWEXhGLo","channel 2")</f>
        <v>channel 2</v>
      </c>
    </row>
    <row r="55">
      <c r="B55" s="72" t="s">
        <v>705</v>
      </c>
      <c r="C55" s="73" t="s">
        <v>1834</v>
      </c>
      <c r="D55" s="74" t="s">
        <v>1017</v>
      </c>
      <c r="E55" s="13" t="str">
        <f>HYPERLINK("https://youtu.be/5uju66kUzM4","channel 1")</f>
        <v>channel 1</v>
      </c>
    </row>
    <row r="56">
      <c r="B56" s="72" t="s">
        <v>1088</v>
      </c>
      <c r="C56" s="73" t="s">
        <v>1828</v>
      </c>
      <c r="D56" s="74" t="s">
        <v>215</v>
      </c>
      <c r="E56" s="66" t="str">
        <f>HYPERLINK("https://youtu.be/YIFSgHmClTI","channel 2")</f>
        <v>channel 2</v>
      </c>
    </row>
    <row r="57">
      <c r="B57" s="72" t="s">
        <v>215</v>
      </c>
      <c r="C57" s="73" t="s">
        <v>1853</v>
      </c>
      <c r="D57" s="74" t="s">
        <v>582</v>
      </c>
      <c r="E57" s="13" t="str">
        <f>HYPERLINK("https://youtu.be/dT2LIfMW_9Y","channel 1")</f>
        <v>channel 1</v>
      </c>
    </row>
    <row r="58">
      <c r="B58" s="72" t="s">
        <v>1088</v>
      </c>
      <c r="C58" s="73" t="s">
        <v>1831</v>
      </c>
      <c r="D58" s="74" t="s">
        <v>1017</v>
      </c>
      <c r="E58" s="66" t="str">
        <f>HYPERLINK("https://youtu.be/FUMrRxzWDL0","channel 2")</f>
        <v>channel 2</v>
      </c>
    </row>
    <row r="59">
      <c r="B59" s="72" t="s">
        <v>582</v>
      </c>
      <c r="C59" s="75" t="s">
        <v>1851</v>
      </c>
      <c r="D59" s="74" t="s">
        <v>705</v>
      </c>
      <c r="E59" s="13" t="str">
        <f>HYPERLINK("https://youtu.be/E5DFrtVLa1Q","channel 1")</f>
        <v>channel 1</v>
      </c>
    </row>
    <row r="60">
      <c r="B60" s="72" t="s">
        <v>215</v>
      </c>
      <c r="C60" s="75" t="s">
        <v>1849</v>
      </c>
      <c r="D60" s="74" t="s">
        <v>1017</v>
      </c>
      <c r="E60" s="66" t="str">
        <f>HYPERLINK("https://youtu.be/d_P8rmtP0d8","channel 2")</f>
        <v>channel 2</v>
      </c>
    </row>
    <row r="61">
      <c r="B61" s="72" t="s">
        <v>1088</v>
      </c>
      <c r="C61" s="75" t="s">
        <v>1831</v>
      </c>
      <c r="D61" s="74" t="s">
        <v>705</v>
      </c>
      <c r="E61" s="13" t="str">
        <f>HYPERLINK("https://youtu.be/YBlW8npjFSo","channel 1")</f>
        <v>channel 1</v>
      </c>
    </row>
    <row r="62">
      <c r="B62" s="72" t="s">
        <v>582</v>
      </c>
      <c r="C62" s="75" t="s">
        <v>1840</v>
      </c>
      <c r="D62" s="74" t="s">
        <v>1017</v>
      </c>
      <c r="E62" s="66" t="str">
        <f>HYPERLINK("https://youtu.be/Mxp7akjC30o","channel 2")</f>
        <v>channel 2</v>
      </c>
    </row>
    <row r="63">
      <c r="B63" s="72" t="s">
        <v>215</v>
      </c>
      <c r="C63" s="73" t="s">
        <v>1841</v>
      </c>
      <c r="D63" s="74" t="s">
        <v>705</v>
      </c>
      <c r="E63" s="13" t="str">
        <f>HYPERLINK("https://youtu.be/bI964lXs5aY","channel 1")</f>
        <v>channel 1</v>
      </c>
    </row>
    <row r="64">
      <c r="B64" s="72" t="s">
        <v>582</v>
      </c>
      <c r="C64" s="73" t="s">
        <v>1853</v>
      </c>
      <c r="D64" s="74" t="s">
        <v>1088</v>
      </c>
      <c r="E64" s="66" t="str">
        <f>HYPERLINK("https://youtu.be/Oh_TbyeAu9Q","channel 2")</f>
        <v>channel 2</v>
      </c>
    </row>
    <row r="65">
      <c r="B65" s="72" t="s">
        <v>1017</v>
      </c>
      <c r="C65" s="75" t="s">
        <v>1850</v>
      </c>
      <c r="D65" s="74" t="s">
        <v>705</v>
      </c>
      <c r="E65" s="13" t="str">
        <f>HYPERLINK("https://youtu.be/dg72lvSzPcw","channel 1")</f>
        <v>channel 1</v>
      </c>
    </row>
    <row r="66">
      <c r="B66" s="72" t="s">
        <v>215</v>
      </c>
      <c r="C66" s="75" t="s">
        <v>1847</v>
      </c>
      <c r="D66" s="74" t="s">
        <v>1088</v>
      </c>
      <c r="E66" s="66" t="str">
        <f>HYPERLINK("https://youtu.be/9gUVtnKtGQw","channel 2")</f>
        <v>channel 2</v>
      </c>
    </row>
    <row r="67">
      <c r="B67" s="118" t="s">
        <v>1405</v>
      </c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1302</v>
      </c>
      <c r="C69" s="70" t="s">
        <v>1840</v>
      </c>
      <c r="D69" s="71" t="s">
        <v>1723</v>
      </c>
      <c r="E69" s="13" t="str">
        <f>HYPERLINK("https://youtu.be/yrtZ3rhw4iE","channel 1")</f>
        <v>channel 1</v>
      </c>
    </row>
    <row r="70">
      <c r="B70" s="72" t="s">
        <v>896</v>
      </c>
      <c r="C70" s="73" t="s">
        <v>1827</v>
      </c>
      <c r="D70" s="74" t="s">
        <v>336</v>
      </c>
      <c r="E70" s="66" t="str">
        <f>HYPERLINK("https://youtu.be/81j2YbjVceI","channel 2")</f>
        <v>channel 2</v>
      </c>
    </row>
    <row r="71">
      <c r="B71" s="72" t="s">
        <v>451</v>
      </c>
      <c r="C71" s="73" t="s">
        <v>1835</v>
      </c>
      <c r="D71" s="74" t="s">
        <v>1302</v>
      </c>
      <c r="E71" s="13" t="str">
        <f>HYPERLINK("https://youtu.be/AXGoN9MY_HU","channel 1")</f>
        <v>channel 1</v>
      </c>
    </row>
    <row r="72">
      <c r="B72" s="72" t="s">
        <v>896</v>
      </c>
      <c r="C72" s="73" t="s">
        <v>1834</v>
      </c>
      <c r="D72" s="74" t="s">
        <v>1723</v>
      </c>
      <c r="E72" s="66" t="str">
        <f>HYPERLINK("https://youtu.be/YF1_UKdbktU","channel 2")</f>
        <v>channel 2</v>
      </c>
    </row>
    <row r="73">
      <c r="B73" s="72" t="s">
        <v>451</v>
      </c>
      <c r="C73" s="73" t="s">
        <v>1836</v>
      </c>
      <c r="D73" s="74" t="s">
        <v>336</v>
      </c>
      <c r="E73" s="13" t="str">
        <f>HYPERLINK("https://youtu.be/AOH3FjAzFtE","channel 1")</f>
        <v>channel 1</v>
      </c>
    </row>
    <row r="74">
      <c r="B74" s="72" t="s">
        <v>896</v>
      </c>
      <c r="C74" s="73" t="s">
        <v>1845</v>
      </c>
      <c r="D74" s="74" t="s">
        <v>1302</v>
      </c>
      <c r="E74" s="66" t="str">
        <f>HYPERLINK("https://youtu.be/m-pAuAK3j1Y","channel 2")</f>
        <v>channel 2</v>
      </c>
    </row>
    <row r="75">
      <c r="B75" s="72" t="s">
        <v>451</v>
      </c>
      <c r="C75" s="73" t="s">
        <v>1826</v>
      </c>
      <c r="D75" s="74" t="s">
        <v>1723</v>
      </c>
      <c r="E75" s="13" t="str">
        <f>HYPERLINK("https://youtu.be/Q6KWbzXk2pc","channel 1")</f>
        <v>channel 1</v>
      </c>
    </row>
    <row r="76">
      <c r="B76" s="72" t="s">
        <v>336</v>
      </c>
      <c r="C76" s="73" t="s">
        <v>1840</v>
      </c>
      <c r="D76" s="74" t="s">
        <v>1302</v>
      </c>
      <c r="E76" s="66" t="str">
        <f>HYPERLINK("https://youtu.be/DkO-6-6sVY0","channel 2")</f>
        <v>channel 2</v>
      </c>
    </row>
    <row r="77">
      <c r="B77" s="72" t="s">
        <v>451</v>
      </c>
      <c r="C77" s="73" t="s">
        <v>1854</v>
      </c>
      <c r="D77" s="74" t="s">
        <v>896</v>
      </c>
      <c r="E77" s="13" t="str">
        <f>HYPERLINK("https://youtu.be/6rMQzXwQwlY","channel 1")</f>
        <v>channel 1</v>
      </c>
    </row>
    <row r="78">
      <c r="B78" s="72" t="s">
        <v>336</v>
      </c>
      <c r="C78" s="73" t="s">
        <v>1851</v>
      </c>
      <c r="D78" s="74" t="s">
        <v>1723</v>
      </c>
      <c r="E78" s="66" t="str">
        <f>HYPERLINK("https://youtu.be/w3X3fEaSsCg","channel 2")</f>
        <v>channel 2</v>
      </c>
    </row>
    <row r="79">
      <c r="B79" s="72" t="s">
        <v>1723</v>
      </c>
      <c r="C79" s="73" t="s">
        <v>1841</v>
      </c>
      <c r="D79" s="74" t="s">
        <v>1302</v>
      </c>
      <c r="E79" s="13" t="str">
        <f>HYPERLINK("https://youtu.be/7ojlOhOql-g","channel 1")</f>
        <v>channel 1</v>
      </c>
    </row>
    <row r="80">
      <c r="B80" s="72" t="s">
        <v>336</v>
      </c>
      <c r="C80" s="73" t="s">
        <v>1831</v>
      </c>
      <c r="D80" s="74" t="s">
        <v>896</v>
      </c>
      <c r="E80" s="66" t="str">
        <f>HYPERLINK("https://youtu.be/WHe2u48hpis","channel 2")</f>
        <v>channel 2</v>
      </c>
    </row>
    <row r="81">
      <c r="B81" s="72" t="s">
        <v>1302</v>
      </c>
      <c r="C81" s="75" t="s">
        <v>1852</v>
      </c>
      <c r="D81" s="74" t="s">
        <v>451</v>
      </c>
      <c r="E81" s="13" t="str">
        <f>HYPERLINK("https://youtu.be/6p-UPwPji2Q","channel 1")</f>
        <v>channel 1</v>
      </c>
    </row>
    <row r="82">
      <c r="B82" s="72" t="s">
        <v>1723</v>
      </c>
      <c r="C82" s="75" t="s">
        <v>1860</v>
      </c>
      <c r="D82" s="74" t="s">
        <v>896</v>
      </c>
      <c r="E82" s="66" t="str">
        <f>HYPERLINK("https://youtu.be/sZWkkAo6OX8","channel 2")</f>
        <v>channel 2</v>
      </c>
    </row>
    <row r="83">
      <c r="B83" s="72" t="s">
        <v>336</v>
      </c>
      <c r="C83" s="75" t="s">
        <v>1861</v>
      </c>
      <c r="D83" s="74" t="s">
        <v>451</v>
      </c>
      <c r="E83" s="13" t="str">
        <f>HYPERLINK("https://youtu.be/ui0B6S0Yhjs","channel 1")</f>
        <v>channel 1</v>
      </c>
    </row>
    <row r="84">
      <c r="B84" s="72" t="s">
        <v>1302</v>
      </c>
      <c r="C84" s="75" t="s">
        <v>1828</v>
      </c>
      <c r="D84" s="74" t="s">
        <v>896</v>
      </c>
      <c r="E84" s="66" t="str">
        <f>HYPERLINK("https://youtu.be/JsUd-FaLkqo","channel 2")</f>
        <v>channel 2</v>
      </c>
    </row>
    <row r="85">
      <c r="B85" s="72" t="s">
        <v>1723</v>
      </c>
      <c r="C85" s="73" t="s">
        <v>1862</v>
      </c>
      <c r="D85" s="74" t="s">
        <v>451</v>
      </c>
      <c r="E85" s="13" t="str">
        <f>HYPERLINK("https://youtu.be/16CDMVYB2K4","channel 1")</f>
        <v>channel 1</v>
      </c>
    </row>
    <row r="86">
      <c r="B86" s="72" t="s">
        <v>1302</v>
      </c>
      <c r="C86" s="73" t="s">
        <v>1831</v>
      </c>
      <c r="D86" s="74" t="s">
        <v>336</v>
      </c>
      <c r="E86" s="66" t="str">
        <f>HYPERLINK("https://youtu.be/TnyKA8LZQcQ","channel 2")</f>
        <v>channel 2</v>
      </c>
    </row>
    <row r="87">
      <c r="B87" s="72" t="s">
        <v>896</v>
      </c>
      <c r="C87" s="75" t="s">
        <v>1833</v>
      </c>
      <c r="D87" s="74" t="s">
        <v>451</v>
      </c>
      <c r="E87" s="13" t="str">
        <f>HYPERLINK("https://youtu.be/j4pTOreY29k","channel 1")</f>
        <v>channel 1</v>
      </c>
    </row>
    <row r="88">
      <c r="B88" s="72" t="s">
        <v>1723</v>
      </c>
      <c r="C88" s="75" t="s">
        <v>1849</v>
      </c>
      <c r="D88" s="74" t="s">
        <v>336</v>
      </c>
      <c r="E88" s="66" t="str">
        <f>HYPERLINK("https://youtu.be/Ou99rQCtols","channel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531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1817</v>
      </c>
      <c r="C3" s="70" t="s">
        <v>1837</v>
      </c>
      <c r="D3" s="10" t="s">
        <v>1855</v>
      </c>
      <c r="E3" s="13" t="str">
        <f>HYPERLINK("https://youtu.be/wkC9UwyQoww","channel 1")</f>
        <v>channel 1</v>
      </c>
    </row>
    <row r="4">
      <c r="B4" s="72" t="s">
        <v>1438</v>
      </c>
      <c r="C4" s="73" t="s">
        <v>1854</v>
      </c>
      <c r="D4" s="72" t="s">
        <v>1592</v>
      </c>
      <c r="E4" s="66" t="str">
        <f>HYPERLINK("https://youtu.be/Fg4lLJA_GoI","channel 2")</f>
        <v>channel 2</v>
      </c>
    </row>
    <row r="5">
      <c r="B5" s="72" t="s">
        <v>536</v>
      </c>
      <c r="C5" s="73" t="s">
        <v>1833</v>
      </c>
      <c r="D5" s="72" t="s">
        <v>1817</v>
      </c>
      <c r="E5" s="13" t="str">
        <f>HYPERLINK("https://youtu.be/FkK-M5aDEv0","channel 1")</f>
        <v>channel 1</v>
      </c>
    </row>
    <row r="6">
      <c r="B6" s="72" t="s">
        <v>1438</v>
      </c>
      <c r="C6" s="73" t="s">
        <v>1832</v>
      </c>
      <c r="D6" s="72" t="s">
        <v>1855</v>
      </c>
      <c r="E6" s="66" t="str">
        <f>HYPERLINK("https://youtu.be/duKJHqjnolw","channel 2")</f>
        <v>channel 2</v>
      </c>
    </row>
    <row r="7">
      <c r="B7" s="72" t="s">
        <v>536</v>
      </c>
      <c r="C7" s="73" t="s">
        <v>1834</v>
      </c>
      <c r="D7" s="72" t="s">
        <v>1592</v>
      </c>
      <c r="E7" s="13" t="str">
        <f>HYPERLINK("https://youtu.be/xjClDCFwyuM","channel 1")</f>
        <v>channel 1</v>
      </c>
    </row>
    <row r="8">
      <c r="B8" s="72" t="s">
        <v>1438</v>
      </c>
      <c r="C8" s="38" t="s">
        <v>1834</v>
      </c>
      <c r="D8" s="72" t="s">
        <v>1817</v>
      </c>
      <c r="E8" s="66" t="str">
        <f>HYPERLINK("https://youtu.be/LgXPXxLnb7g","channel 2")</f>
        <v>channel 2</v>
      </c>
    </row>
    <row r="9">
      <c r="B9" s="72" t="s">
        <v>536</v>
      </c>
      <c r="C9" s="73" t="s">
        <v>1849</v>
      </c>
      <c r="D9" s="72" t="s">
        <v>1855</v>
      </c>
      <c r="E9" s="13" t="str">
        <f>HYPERLINK("https://youtu.be/y-KwYSjyJTU","channel 1")</f>
        <v>channel 1</v>
      </c>
      <c r="G9" s="45" t="s">
        <v>1863</v>
      </c>
      <c r="H9" s="119"/>
      <c r="I9" s="47"/>
    </row>
    <row r="10">
      <c r="B10" s="72" t="s">
        <v>1592</v>
      </c>
      <c r="C10" s="73" t="s">
        <v>1831</v>
      </c>
      <c r="D10" s="72" t="s">
        <v>1817</v>
      </c>
      <c r="E10" s="66" t="str">
        <f>HYPERLINK("https://youtu.be/V_6F7hQw3xk","channel 2")</f>
        <v>channel 2</v>
      </c>
      <c r="G10" s="47"/>
      <c r="H10" s="119"/>
      <c r="I10" s="47"/>
    </row>
    <row r="11">
      <c r="B11" s="72" t="s">
        <v>536</v>
      </c>
      <c r="C11" s="73" t="s">
        <v>1834</v>
      </c>
      <c r="D11" s="72" t="s">
        <v>1438</v>
      </c>
      <c r="E11" s="13" t="str">
        <f>HYPERLINK("https://youtu.be/y-KwYSjyJTU","channel 1")</f>
        <v>channel 1</v>
      </c>
    </row>
    <row r="12">
      <c r="B12" s="72" t="s">
        <v>1592</v>
      </c>
      <c r="C12" s="73" t="s">
        <v>1864</v>
      </c>
      <c r="D12" s="72" t="s">
        <v>1855</v>
      </c>
      <c r="E12" s="66" t="str">
        <f>HYPERLINK("https://youtu.be/ve0r1bUq8Dc","channel 2")</f>
        <v>channel 2</v>
      </c>
    </row>
    <row r="13">
      <c r="B13" s="72" t="s">
        <v>1855</v>
      </c>
      <c r="C13" s="73" t="s">
        <v>1830</v>
      </c>
      <c r="D13" s="72" t="s">
        <v>1817</v>
      </c>
      <c r="E13" s="13" t="str">
        <f>HYPERLINK("https://youtu.be/BNmhX6leJ2M","channel 1")</f>
        <v>channel 1</v>
      </c>
    </row>
    <row r="14">
      <c r="B14" s="72" t="s">
        <v>1592</v>
      </c>
      <c r="C14" s="73" t="s">
        <v>1837</v>
      </c>
      <c r="D14" s="72" t="s">
        <v>1438</v>
      </c>
      <c r="E14" s="66" t="str">
        <f>HYPERLINK("https://youtu.be/UeJWqid8uTU","channel 2")</f>
        <v>channel 2</v>
      </c>
    </row>
    <row r="15">
      <c r="B15" s="72" t="s">
        <v>1817</v>
      </c>
      <c r="C15" s="75" t="s">
        <v>1845</v>
      </c>
      <c r="D15" s="72" t="s">
        <v>536</v>
      </c>
      <c r="E15" s="13" t="str">
        <f>HYPERLINK("https://youtu.be/IeRnU8DGlso","channel 1")</f>
        <v>channel 1</v>
      </c>
    </row>
    <row r="16">
      <c r="B16" s="72" t="s">
        <v>1855</v>
      </c>
      <c r="C16" s="75" t="s">
        <v>1834</v>
      </c>
      <c r="D16" s="72" t="s">
        <v>1438</v>
      </c>
      <c r="E16" s="66" t="str">
        <f>HYPERLINK("https://youtu.be/Tk4Syjhik0Y","channel 2")</f>
        <v>channel 2</v>
      </c>
    </row>
    <row r="17">
      <c r="B17" s="72" t="s">
        <v>1592</v>
      </c>
      <c r="C17" s="75" t="s">
        <v>1827</v>
      </c>
      <c r="D17" s="72" t="s">
        <v>536</v>
      </c>
      <c r="E17" s="13" t="str">
        <f>HYPERLINK("https://youtu.be/hfKH9WLr-cg","channel 1")</f>
        <v>channel 1</v>
      </c>
    </row>
    <row r="18">
      <c r="B18" s="72" t="s">
        <v>1817</v>
      </c>
      <c r="C18" s="75" t="s">
        <v>1840</v>
      </c>
      <c r="D18" s="72" t="s">
        <v>1438</v>
      </c>
      <c r="E18" s="66" t="str">
        <f>HYPERLINK("https://youtu.be/nr6PbT8MJ4M","channel 2")</f>
        <v>channel 2</v>
      </c>
    </row>
    <row r="19">
      <c r="B19" s="72" t="s">
        <v>1855</v>
      </c>
      <c r="C19" s="73" t="s">
        <v>1824</v>
      </c>
      <c r="D19" s="72" t="s">
        <v>536</v>
      </c>
      <c r="E19" s="13" t="str">
        <f>HYPERLINK("https://youtu.be/3H6MpNnAE2A","channel 1")</f>
        <v>channel 1</v>
      </c>
    </row>
    <row r="20">
      <c r="B20" s="72" t="s">
        <v>1817</v>
      </c>
      <c r="C20" s="73" t="s">
        <v>1837</v>
      </c>
      <c r="D20" s="72" t="s">
        <v>1592</v>
      </c>
      <c r="E20" s="66" t="str">
        <f>HYPERLINK("https://youtu.be/ouZ--NzS9pk","channel 2")</f>
        <v>channel 2</v>
      </c>
    </row>
    <row r="21">
      <c r="B21" s="72" t="s">
        <v>1438</v>
      </c>
      <c r="C21" s="75" t="s">
        <v>1831</v>
      </c>
      <c r="D21" s="72" t="s">
        <v>536</v>
      </c>
      <c r="E21" s="13" t="str">
        <f>HYPERLINK("https://youtu.be/bVB0mCUO-2E","channel 1")</f>
        <v>channel 1</v>
      </c>
    </row>
    <row r="22">
      <c r="B22" s="72" t="s">
        <v>1855</v>
      </c>
      <c r="C22" s="75" t="s">
        <v>1828</v>
      </c>
      <c r="D22" s="72" t="s">
        <v>1592</v>
      </c>
      <c r="E22" s="66" t="str">
        <f>HYPERLINK("https://youtu.be/LlGGeT9RmIA","channel 2")</f>
        <v>channel 2</v>
      </c>
    </row>
    <row r="23">
      <c r="B23" s="42" t="s">
        <v>1343</v>
      </c>
      <c r="C23" s="3"/>
      <c r="D23" s="3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1767</v>
      </c>
      <c r="C25" s="70" t="s">
        <v>1848</v>
      </c>
      <c r="D25" s="10" t="s">
        <v>1769</v>
      </c>
      <c r="E25" s="13" t="str">
        <f>HYPERLINK("https://youtu.be/HGOe6r0NnGY","channel 1")</f>
        <v>channel 1</v>
      </c>
    </row>
    <row r="26">
      <c r="B26" s="72" t="s">
        <v>1865</v>
      </c>
      <c r="C26" s="73" t="s">
        <v>1831</v>
      </c>
      <c r="D26" s="72" t="s">
        <v>1866</v>
      </c>
      <c r="E26" s="66" t="str">
        <f>HYPERLINK("https://youtu.be/YR11OVY-wck","channel 2")</f>
        <v>channel 2</v>
      </c>
    </row>
    <row r="27">
      <c r="B27" s="72" t="s">
        <v>1867</v>
      </c>
      <c r="C27" s="73" t="s">
        <v>1837</v>
      </c>
      <c r="D27" s="72" t="s">
        <v>1767</v>
      </c>
      <c r="E27" s="13" t="str">
        <f>HYPERLINK("https://youtu.be/HGOe6r0NnGY","channel 1")</f>
        <v>channel 1</v>
      </c>
    </row>
    <row r="28">
      <c r="B28" s="72" t="s">
        <v>1865</v>
      </c>
      <c r="C28" s="73" t="s">
        <v>1830</v>
      </c>
      <c r="D28" s="72" t="s">
        <v>1769</v>
      </c>
      <c r="E28" s="66" t="str">
        <f>HYPERLINK("https://youtu.be/-p0Ou-of3oM","channel 2")</f>
        <v>channel 2</v>
      </c>
    </row>
    <row r="29">
      <c r="B29" s="72" t="s">
        <v>1867</v>
      </c>
      <c r="C29" s="73" t="s">
        <v>1830</v>
      </c>
      <c r="D29" s="72" t="s">
        <v>1866</v>
      </c>
      <c r="E29" s="13" t="str">
        <f>HYPERLINK("https://youtu.be/ehzIs-r2YZo","channel 1")</f>
        <v>channel 1</v>
      </c>
    </row>
    <row r="30">
      <c r="B30" s="72" t="s">
        <v>1865</v>
      </c>
      <c r="C30" s="73" t="s">
        <v>1833</v>
      </c>
      <c r="D30" s="72" t="s">
        <v>1767</v>
      </c>
      <c r="E30" s="66" t="str">
        <f>HYPERLINK("https://youtu.be/BywS6LcxWFM","channel 2")</f>
        <v>channel 2</v>
      </c>
    </row>
    <row r="31">
      <c r="B31" s="72" t="s">
        <v>1867</v>
      </c>
      <c r="C31" s="73" t="s">
        <v>1833</v>
      </c>
      <c r="D31" s="72" t="s">
        <v>1769</v>
      </c>
      <c r="E31" s="13" t="str">
        <f>HYPERLINK("https://youtu.be/DU8iPVrl_B4","channel 1")</f>
        <v>channel 1</v>
      </c>
    </row>
    <row r="32">
      <c r="B32" s="72" t="s">
        <v>1866</v>
      </c>
      <c r="C32" s="73" t="s">
        <v>1831</v>
      </c>
      <c r="D32" s="72" t="s">
        <v>1767</v>
      </c>
      <c r="E32" s="66" t="str">
        <f>HYPERLINK("https://youtu.be/tHJHjgFNMbE","channel 2")</f>
        <v>channel 2</v>
      </c>
    </row>
    <row r="33">
      <c r="B33" s="72" t="s">
        <v>1867</v>
      </c>
      <c r="C33" s="73" t="s">
        <v>1853</v>
      </c>
      <c r="D33" s="72" t="s">
        <v>1865</v>
      </c>
      <c r="E33" s="13" t="str">
        <f>HYPERLINK("https://youtu.be/-tJ75vq3SAQ","channel 1")</f>
        <v>channel 1</v>
      </c>
    </row>
    <row r="34">
      <c r="B34" s="72" t="s">
        <v>1866</v>
      </c>
      <c r="C34" s="73" t="s">
        <v>1848</v>
      </c>
      <c r="D34" s="72" t="s">
        <v>1769</v>
      </c>
      <c r="E34" s="66" t="str">
        <f>HYPERLINK("https://youtu.be/ovLcCG92qAQ","channel 2")</f>
        <v>channel 2</v>
      </c>
    </row>
    <row r="35">
      <c r="B35" s="72" t="s">
        <v>1769</v>
      </c>
      <c r="C35" s="73" t="s">
        <v>1829</v>
      </c>
      <c r="D35" s="72" t="s">
        <v>1767</v>
      </c>
      <c r="E35" s="13" t="str">
        <f>HYPERLINK("https://youtu.be/4P1Hk2wu5p0","channel 1")</f>
        <v>channel 1</v>
      </c>
    </row>
    <row r="36">
      <c r="B36" s="72" t="s">
        <v>1866</v>
      </c>
      <c r="C36" s="73" t="s">
        <v>1834</v>
      </c>
      <c r="D36" s="72" t="s">
        <v>1865</v>
      </c>
      <c r="E36" s="66" t="str">
        <f>HYPERLINK("https://youtu.be/PkIeyILRGhk","channel 2")</f>
        <v>channel 2</v>
      </c>
    </row>
    <row r="37">
      <c r="B37" s="72" t="s">
        <v>1767</v>
      </c>
      <c r="C37" s="75" t="s">
        <v>1849</v>
      </c>
      <c r="D37" s="72" t="s">
        <v>1867</v>
      </c>
      <c r="E37" s="13" t="str">
        <f>HYPERLINK("https://youtu.be/IYnCAmYASUw","channel 1")</f>
        <v>channel 1</v>
      </c>
    </row>
    <row r="38">
      <c r="B38" s="72" t="s">
        <v>1769</v>
      </c>
      <c r="C38" s="75" t="s">
        <v>1824</v>
      </c>
      <c r="D38" s="72" t="s">
        <v>1865</v>
      </c>
      <c r="E38" s="66" t="str">
        <f>HYPERLINK("https://youtu.be/ZpiJCv7Yiew","channel 2")</f>
        <v>channel 2</v>
      </c>
    </row>
    <row r="39">
      <c r="B39" s="72" t="s">
        <v>1866</v>
      </c>
      <c r="C39" s="75" t="s">
        <v>1824</v>
      </c>
      <c r="D39" s="72" t="s">
        <v>1867</v>
      </c>
      <c r="E39" s="13" t="str">
        <f>HYPERLINK("https://youtu.be/isxhZOKwoi0","channel 1")</f>
        <v>channel 1</v>
      </c>
    </row>
    <row r="40">
      <c r="B40" s="72" t="s">
        <v>1767</v>
      </c>
      <c r="C40" s="75" t="s">
        <v>1861</v>
      </c>
      <c r="D40" s="72" t="s">
        <v>1865</v>
      </c>
      <c r="E40" s="66" t="str">
        <f>HYPERLINK("https://youtu.be/AxgqvO91TPc","channel 2")</f>
        <v>channel 2</v>
      </c>
    </row>
    <row r="41">
      <c r="B41" s="72" t="s">
        <v>1769</v>
      </c>
      <c r="C41" s="73" t="s">
        <v>1840</v>
      </c>
      <c r="D41" s="72" t="s">
        <v>1867</v>
      </c>
      <c r="E41" s="13" t="str">
        <f>HYPERLINK("https://youtu.be/Uywls6K_mVY","channel 1")</f>
        <v>channel 1</v>
      </c>
    </row>
    <row r="42">
      <c r="B42" s="72" t="s">
        <v>1767</v>
      </c>
      <c r="C42" s="73" t="s">
        <v>1837</v>
      </c>
      <c r="D42" s="72" t="s">
        <v>1866</v>
      </c>
      <c r="E42" s="66" t="str">
        <f>HYPERLINK("https://youtu.be/NbiC6n6_zps","channel 2")</f>
        <v>channel 2</v>
      </c>
    </row>
    <row r="43">
      <c r="B43" s="72" t="s">
        <v>1865</v>
      </c>
      <c r="C43" s="75" t="s">
        <v>1826</v>
      </c>
      <c r="D43" s="72" t="s">
        <v>1867</v>
      </c>
      <c r="E43" s="13" t="str">
        <f>HYPERLINK("https://youtu.be/O0I3JQrLbno","channel 1")</f>
        <v>channel 1</v>
      </c>
    </row>
    <row r="44">
      <c r="B44" s="72" t="s">
        <v>1769</v>
      </c>
      <c r="C44" s="75" t="s">
        <v>1849</v>
      </c>
      <c r="D44" s="72" t="s">
        <v>1866</v>
      </c>
      <c r="E44" s="65" t="s">
        <v>28</v>
      </c>
    </row>
    <row r="45">
      <c r="B45" s="42" t="s">
        <v>700</v>
      </c>
      <c r="C45" s="3"/>
      <c r="D45" s="3"/>
      <c r="E45" s="4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600</v>
      </c>
      <c r="C47" s="70" t="s">
        <v>1868</v>
      </c>
      <c r="D47" s="71" t="s">
        <v>800</v>
      </c>
      <c r="E47" s="13" t="str">
        <f>HYPERLINK("https://youtu.be/0rjOEVDrQiQ","channel 1")</f>
        <v>channel 1</v>
      </c>
    </row>
    <row r="48">
      <c r="B48" s="72" t="s">
        <v>1307</v>
      </c>
      <c r="C48" s="73" t="s">
        <v>1849</v>
      </c>
      <c r="D48" s="74" t="s">
        <v>1499</v>
      </c>
      <c r="E48" s="66" t="str">
        <f>HYPERLINK("https://youtu.be/XWxWjlVs2SE","channel 2")</f>
        <v>channel 2</v>
      </c>
    </row>
    <row r="49">
      <c r="B49" s="72" t="s">
        <v>1869</v>
      </c>
      <c r="C49" s="73" t="s">
        <v>1847</v>
      </c>
      <c r="D49" s="74" t="s">
        <v>600</v>
      </c>
      <c r="E49" s="13" t="str">
        <f>HYPERLINK("https://youtu.be/Ws68qaIRz9o","channel 1")</f>
        <v>channel 1</v>
      </c>
    </row>
    <row r="50">
      <c r="B50" s="72" t="s">
        <v>1307</v>
      </c>
      <c r="C50" s="73" t="s">
        <v>1870</v>
      </c>
      <c r="D50" s="74" t="s">
        <v>800</v>
      </c>
      <c r="E50" s="66" t="str">
        <f>HYPERLINK("https://youtu.be/2KT1WovW_Ks","channel 2")</f>
        <v>channel 2</v>
      </c>
    </row>
    <row r="51">
      <c r="B51" s="72" t="s">
        <v>1869</v>
      </c>
      <c r="C51" s="73" t="s">
        <v>1862</v>
      </c>
      <c r="D51" s="74" t="s">
        <v>1499</v>
      </c>
      <c r="E51" s="13" t="str">
        <f>HYPERLINK("https://youtu.be/hSX3fgQM5x0","channel 1")</f>
        <v>channel 1</v>
      </c>
    </row>
    <row r="52">
      <c r="B52" s="72" t="s">
        <v>1307</v>
      </c>
      <c r="C52" s="73" t="s">
        <v>1834</v>
      </c>
      <c r="D52" s="74" t="s">
        <v>600</v>
      </c>
      <c r="E52" s="66" t="str">
        <f>HYPERLINK("https://youtu.be/vURAMNFhpg4","channel 2")</f>
        <v>channel 2</v>
      </c>
    </row>
    <row r="53">
      <c r="B53" s="72" t="s">
        <v>1869</v>
      </c>
      <c r="C53" s="73" t="s">
        <v>1845</v>
      </c>
      <c r="D53" s="74" t="s">
        <v>800</v>
      </c>
      <c r="E53" s="13" t="str">
        <f>HYPERLINK("https://youtu.be/GgvxurtP3vA","channel 1")</f>
        <v>channel 1</v>
      </c>
    </row>
    <row r="54">
      <c r="B54" s="72" t="s">
        <v>1499</v>
      </c>
      <c r="C54" s="73" t="s">
        <v>1845</v>
      </c>
      <c r="D54" s="74" t="s">
        <v>600</v>
      </c>
      <c r="E54" s="66" t="str">
        <f>HYPERLINK("https://youtu.be/iAw44RZRA7k","channel 2")</f>
        <v>channel 2</v>
      </c>
    </row>
    <row r="55">
      <c r="B55" s="72" t="s">
        <v>1869</v>
      </c>
      <c r="C55" s="73" t="s">
        <v>1860</v>
      </c>
      <c r="D55" s="74" t="s">
        <v>1307</v>
      </c>
      <c r="E55" s="13" t="str">
        <f>HYPERLINK("https://youtu.be/c2OLbrWfc6U","channel 1")</f>
        <v>channel 1</v>
      </c>
    </row>
    <row r="56">
      <c r="B56" s="72" t="s">
        <v>1499</v>
      </c>
      <c r="C56" s="73" t="s">
        <v>1845</v>
      </c>
      <c r="D56" s="74" t="s">
        <v>800</v>
      </c>
      <c r="E56" s="66" t="str">
        <f>HYPERLINK("https://youtu.be/mfmaUDlprs8","channel 2")</f>
        <v>channel 2</v>
      </c>
      <c r="F56" s="113"/>
    </row>
    <row r="57">
      <c r="B57" s="72" t="s">
        <v>800</v>
      </c>
      <c r="C57" s="73" t="s">
        <v>1824</v>
      </c>
      <c r="D57" s="74" t="s">
        <v>600</v>
      </c>
      <c r="E57" s="13" t="str">
        <f>HYPERLINK("https://youtu.be/BhtdLFP3V_E","channel 1")</f>
        <v>channel 1</v>
      </c>
      <c r="G57" s="114"/>
    </row>
    <row r="58">
      <c r="B58" s="72" t="s">
        <v>1499</v>
      </c>
      <c r="C58" s="73" t="s">
        <v>1826</v>
      </c>
      <c r="D58" s="74" t="s">
        <v>1307</v>
      </c>
      <c r="E58" s="66" t="str">
        <f>HYPERLINK("https://youtu.be/HwEfx_TyU_4","channel 2")</f>
        <v>channel 2</v>
      </c>
    </row>
    <row r="59">
      <c r="B59" s="72" t="s">
        <v>600</v>
      </c>
      <c r="C59" s="75" t="s">
        <v>1871</v>
      </c>
      <c r="D59" s="74" t="s">
        <v>1869</v>
      </c>
      <c r="E59" s="13" t="str">
        <f>HYPERLINK("https://youtu.be/GEZY6aaUBbU","channel 1")</f>
        <v>channel 1</v>
      </c>
    </row>
    <row r="60">
      <c r="B60" s="72" t="s">
        <v>800</v>
      </c>
      <c r="C60" s="75" t="s">
        <v>1829</v>
      </c>
      <c r="D60" s="74" t="s">
        <v>1307</v>
      </c>
      <c r="E60" s="66" t="str">
        <f>HYPERLINK("https://youtu.be/Q-_s_c6OBDU","channel 2")</f>
        <v>channel 2</v>
      </c>
    </row>
    <row r="61">
      <c r="B61" s="72" t="s">
        <v>1499</v>
      </c>
      <c r="C61" s="75" t="s">
        <v>1872</v>
      </c>
      <c r="D61" s="74" t="s">
        <v>1869</v>
      </c>
      <c r="E61" s="13" t="str">
        <f>HYPERLINK("https://youtu.be/CtoZm0WEr5Y","channel 1")</f>
        <v>channel 1</v>
      </c>
    </row>
    <row r="62">
      <c r="B62" s="72" t="s">
        <v>600</v>
      </c>
      <c r="C62" s="75" t="s">
        <v>1835</v>
      </c>
      <c r="D62" s="74" t="s">
        <v>1307</v>
      </c>
      <c r="E62" s="66" t="str">
        <f>HYPERLINK("https://youtu.be/ekLV4RAmt5k","channel 2")</f>
        <v>channel 2</v>
      </c>
    </row>
    <row r="63">
      <c r="B63" s="72" t="s">
        <v>800</v>
      </c>
      <c r="C63" s="73" t="s">
        <v>1832</v>
      </c>
      <c r="D63" s="74" t="s">
        <v>1869</v>
      </c>
      <c r="E63" s="13" t="str">
        <f>HYPERLINK("https://youtu.be/TF-HZZxtf0E","channel 1")</f>
        <v>channel 1</v>
      </c>
    </row>
    <row r="64">
      <c r="B64" s="72" t="s">
        <v>600</v>
      </c>
      <c r="C64" s="73" t="s">
        <v>1841</v>
      </c>
      <c r="D64" s="74" t="s">
        <v>1499</v>
      </c>
      <c r="E64" s="66" t="str">
        <f>HYPERLINK("https://youtu.be/0aqUvTVIb4U","channel 2")</f>
        <v>channel 2</v>
      </c>
    </row>
    <row r="65">
      <c r="B65" s="72" t="s">
        <v>1307</v>
      </c>
      <c r="C65" s="75" t="s">
        <v>1849</v>
      </c>
      <c r="D65" s="74" t="s">
        <v>1869</v>
      </c>
      <c r="E65" s="13" t="str">
        <f>HYPERLINK("https://youtu.be/lGl_xnemmcQ","channel 1")</f>
        <v>channel 1</v>
      </c>
    </row>
    <row r="66">
      <c r="B66" s="72" t="s">
        <v>800</v>
      </c>
      <c r="C66" s="75" t="s">
        <v>1827</v>
      </c>
      <c r="D66" s="74" t="s">
        <v>1499</v>
      </c>
      <c r="E66" s="66" t="str">
        <f>HYPERLINK("https://youtu.be/bdrwJP7vTq8","channel 2")</f>
        <v>channel 2</v>
      </c>
    </row>
    <row r="67">
      <c r="B67" s="42" t="s">
        <v>240</v>
      </c>
      <c r="C67" s="3"/>
      <c r="D67" s="3"/>
      <c r="E67" s="4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1589</v>
      </c>
      <c r="C69" s="70" t="s">
        <v>1824</v>
      </c>
      <c r="D69" s="71" t="s">
        <v>1530</v>
      </c>
      <c r="E69" s="13" t="str">
        <f>HYPERLINK("https://youtu.be/2N0aB4V2N74","channel 1")</f>
        <v>channel 1</v>
      </c>
    </row>
    <row r="70">
      <c r="B70" s="72" t="s">
        <v>1481</v>
      </c>
      <c r="C70" s="73" t="s">
        <v>1873</v>
      </c>
      <c r="D70" s="74" t="s">
        <v>1451</v>
      </c>
      <c r="E70" s="66" t="str">
        <f>HYPERLINK("https://youtu.be/SpFZ42Hep3U","channel 2")</f>
        <v>channel 2</v>
      </c>
    </row>
    <row r="71">
      <c r="B71" s="72" t="s">
        <v>1250</v>
      </c>
      <c r="C71" s="73" t="s">
        <v>1854</v>
      </c>
      <c r="D71" s="74" t="s">
        <v>1589</v>
      </c>
      <c r="E71" s="13" t="str">
        <f>HYPERLINK("https://youtu.be/HFrzDy8m_S4","channel 1")</f>
        <v>channel 1</v>
      </c>
    </row>
    <row r="72">
      <c r="B72" s="72" t="s">
        <v>1481</v>
      </c>
      <c r="C72" s="73" t="s">
        <v>1852</v>
      </c>
      <c r="D72" s="74" t="s">
        <v>1530</v>
      </c>
      <c r="E72" s="66" t="str">
        <f>HYPERLINK("https://youtu.be/mSlB0n34zNQ","channel 2")</f>
        <v>channel 2</v>
      </c>
    </row>
    <row r="73">
      <c r="B73" s="72" t="s">
        <v>1250</v>
      </c>
      <c r="C73" s="73" t="s">
        <v>1845</v>
      </c>
      <c r="D73" s="74" t="s">
        <v>1451</v>
      </c>
      <c r="E73" s="13" t="str">
        <f>HYPERLINK("https://youtu.be/dfYBGR_vNtE","channel 1")</f>
        <v>channel 1</v>
      </c>
    </row>
    <row r="74">
      <c r="B74" s="72" t="s">
        <v>1481</v>
      </c>
      <c r="C74" s="73" t="s">
        <v>1826</v>
      </c>
      <c r="D74" s="74" t="s">
        <v>1589</v>
      </c>
      <c r="E74" s="66" t="str">
        <f>HYPERLINK("https://youtu.be/Z8xiuvUvfVE","channel 2")</f>
        <v>channel 2</v>
      </c>
    </row>
    <row r="75">
      <c r="B75" s="72" t="s">
        <v>1250</v>
      </c>
      <c r="C75" s="73" t="s">
        <v>1841</v>
      </c>
      <c r="D75" s="74" t="s">
        <v>1530</v>
      </c>
      <c r="E75" s="13" t="str">
        <f>HYPERLINK("https://youtu.be/ty2AvbP6rKQ","channel 1")</f>
        <v>channel 1</v>
      </c>
    </row>
    <row r="76">
      <c r="B76" s="72" t="s">
        <v>1451</v>
      </c>
      <c r="C76" s="73" t="s">
        <v>1874</v>
      </c>
      <c r="D76" s="74" t="s">
        <v>1589</v>
      </c>
      <c r="E76" s="66" t="str">
        <f>HYPERLINK("https://youtu.be/Vx5-CeWllXE","channel 2")</f>
        <v>channel 2</v>
      </c>
    </row>
    <row r="77">
      <c r="B77" s="72" t="s">
        <v>1250</v>
      </c>
      <c r="C77" s="73" t="s">
        <v>1827</v>
      </c>
      <c r="D77" s="74" t="s">
        <v>1481</v>
      </c>
      <c r="E77" s="13" t="str">
        <f>HYPERLINK("https://youtu.be/xa2chE_8GBQ","channel 1")</f>
        <v>channel 1</v>
      </c>
    </row>
    <row r="78">
      <c r="B78" s="72" t="s">
        <v>1451</v>
      </c>
      <c r="C78" s="73" t="s">
        <v>1840</v>
      </c>
      <c r="D78" s="74" t="s">
        <v>1530</v>
      </c>
      <c r="E78" s="66" t="str">
        <f>HYPERLINK("https://youtu.be/EX1DvcN-TCc","channel 2")</f>
        <v>channel 2</v>
      </c>
    </row>
    <row r="79">
      <c r="B79" s="72" t="s">
        <v>1530</v>
      </c>
      <c r="C79" s="73" t="s">
        <v>1861</v>
      </c>
      <c r="D79" s="74" t="s">
        <v>1589</v>
      </c>
      <c r="E79" s="13" t="str">
        <f>HYPERLINK("https://youtu.be/z5qj17YqOL8","channel 1")</f>
        <v>channel 1</v>
      </c>
    </row>
    <row r="80">
      <c r="B80" s="72" t="s">
        <v>1451</v>
      </c>
      <c r="C80" s="73" t="s">
        <v>1827</v>
      </c>
      <c r="D80" s="74" t="s">
        <v>1481</v>
      </c>
      <c r="E80" s="66" t="str">
        <f>HYPERLINK("https://youtu.be/aLwtkqiJLds","channel 2")</f>
        <v>channel 2</v>
      </c>
    </row>
    <row r="81">
      <c r="B81" s="72" t="s">
        <v>1589</v>
      </c>
      <c r="C81" s="75" t="s">
        <v>1849</v>
      </c>
      <c r="D81" s="74" t="s">
        <v>1250</v>
      </c>
      <c r="E81" s="13" t="str">
        <f>HYPERLINK("https://youtu.be/2cfbblubhKk","channel 1")</f>
        <v>channel 1</v>
      </c>
    </row>
    <row r="82">
      <c r="B82" s="72" t="s">
        <v>1530</v>
      </c>
      <c r="C82" s="75" t="s">
        <v>1849</v>
      </c>
      <c r="D82" s="74" t="s">
        <v>1481</v>
      </c>
      <c r="E82" s="66" t="str">
        <f>HYPERLINK("https://youtu.be/VUdhL9_3PIA","channel 2")</f>
        <v>channel 2</v>
      </c>
    </row>
    <row r="83">
      <c r="B83" s="72" t="s">
        <v>1451</v>
      </c>
      <c r="C83" s="75" t="s">
        <v>1828</v>
      </c>
      <c r="D83" s="74" t="s">
        <v>1250</v>
      </c>
      <c r="E83" s="13" t="str">
        <f>HYPERLINK("https://youtu.be/SRe2dliRZcA","channel 1")</f>
        <v>channel 1</v>
      </c>
    </row>
    <row r="84">
      <c r="B84" s="72" t="s">
        <v>1589</v>
      </c>
      <c r="C84" s="75" t="s">
        <v>1834</v>
      </c>
      <c r="D84" s="74" t="s">
        <v>1481</v>
      </c>
      <c r="E84" s="66" t="str">
        <f>HYPERLINK("https://youtu.be/1UtFD1nPfLw","channel 2")</f>
        <v>channel 2</v>
      </c>
    </row>
    <row r="85">
      <c r="B85" s="72" t="s">
        <v>1530</v>
      </c>
      <c r="C85" s="73" t="s">
        <v>1826</v>
      </c>
      <c r="D85" s="74" t="s">
        <v>1250</v>
      </c>
      <c r="E85" s="13" t="str">
        <f>HYPERLINK("https://youtu.be/QJai1Lcje_o","channel 1")</f>
        <v>channel 1</v>
      </c>
    </row>
    <row r="86">
      <c r="B86" s="72" t="s">
        <v>1589</v>
      </c>
      <c r="C86" s="73" t="s">
        <v>1824</v>
      </c>
      <c r="D86" s="74" t="s">
        <v>1451</v>
      </c>
      <c r="E86" s="66" t="str">
        <f>HYPERLINK("https://youtu.be/OE5Hvg8eZQk","channel 2")</f>
        <v>channel 2</v>
      </c>
    </row>
    <row r="87">
      <c r="B87" s="72" t="s">
        <v>1481</v>
      </c>
      <c r="C87" s="75" t="s">
        <v>1834</v>
      </c>
      <c r="D87" s="74" t="s">
        <v>1250</v>
      </c>
      <c r="E87" s="13" t="str">
        <f>HYPERLINK("https://youtu.be/z9-D2y5H1QU","channel 1")</f>
        <v>channel 1</v>
      </c>
    </row>
    <row r="88">
      <c r="B88" s="72" t="s">
        <v>1530</v>
      </c>
      <c r="C88" s="75" t="s">
        <v>1837</v>
      </c>
      <c r="D88" s="74" t="s">
        <v>1451</v>
      </c>
      <c r="E88" s="66" t="str">
        <f>HYPERLINK("https://youtu.be/0VpY3QpwUsg","channel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1875</v>
      </c>
      <c r="C3" s="70" t="s">
        <v>1834</v>
      </c>
      <c r="D3" s="71" t="s">
        <v>1876</v>
      </c>
      <c r="E3" s="32" t="str">
        <f>HYPERLINK("https://youtu.be/du1PmRab70I","channel 1")</f>
        <v>channel 1</v>
      </c>
    </row>
    <row r="4">
      <c r="B4" s="79" t="s">
        <v>1413</v>
      </c>
      <c r="C4" s="73" t="s">
        <v>1847</v>
      </c>
      <c r="D4" s="74" t="s">
        <v>9</v>
      </c>
      <c r="E4" s="84" t="str">
        <f>HYPERLINK("https://youtu.be/TLiahrfCK-M","channel 2")</f>
        <v>channel 2</v>
      </c>
    </row>
    <row r="5">
      <c r="B5" s="72" t="s">
        <v>15</v>
      </c>
      <c r="C5" s="73" t="s">
        <v>1832</v>
      </c>
      <c r="D5" s="74" t="s">
        <v>1875</v>
      </c>
      <c r="E5" s="84" t="str">
        <f>HYPERLINK("https://youtu.be/qFfj7Rja4s0","channel 1")</f>
        <v>channel 1</v>
      </c>
    </row>
    <row r="6">
      <c r="B6" s="79" t="s">
        <v>1413</v>
      </c>
      <c r="C6" s="73" t="s">
        <v>1861</v>
      </c>
      <c r="D6" s="74" t="s">
        <v>1876</v>
      </c>
      <c r="E6" s="84" t="str">
        <f>HYPERLINK("https://youtu.be/a-4QTXoZBJw","channel 2")</f>
        <v>channel 2</v>
      </c>
    </row>
    <row r="7">
      <c r="B7" s="72" t="s">
        <v>15</v>
      </c>
      <c r="C7" s="73" t="s">
        <v>1840</v>
      </c>
      <c r="D7" s="74" t="s">
        <v>9</v>
      </c>
      <c r="E7" s="84" t="str">
        <f>HYPERLINK("https://youtu.be/uUZ-Wf1d1xM","channel 1")</f>
        <v>channel 1</v>
      </c>
    </row>
    <row r="8">
      <c r="B8" s="79" t="s">
        <v>1413</v>
      </c>
      <c r="C8" s="73" t="s">
        <v>1862</v>
      </c>
      <c r="D8" s="74" t="s">
        <v>1875</v>
      </c>
      <c r="E8" s="84" t="str">
        <f>HYPERLINK("https://youtu.be/VtkRlbS-TRI","channel 2")</f>
        <v>channel 2</v>
      </c>
    </row>
    <row r="9">
      <c r="B9" s="72" t="s">
        <v>15</v>
      </c>
      <c r="C9" s="73" t="s">
        <v>1837</v>
      </c>
      <c r="D9" s="74" t="s">
        <v>1876</v>
      </c>
      <c r="E9" s="84" t="str">
        <f>HYPERLINK("https://youtu.be/r6ymSh0X288","channel 1")</f>
        <v>channel 1</v>
      </c>
      <c r="G9" s="45" t="s">
        <v>1863</v>
      </c>
      <c r="H9" s="119"/>
      <c r="I9" s="47"/>
    </row>
    <row r="10">
      <c r="B10" s="72" t="s">
        <v>9</v>
      </c>
      <c r="C10" s="73" t="s">
        <v>1841</v>
      </c>
      <c r="D10" s="74" t="s">
        <v>1875</v>
      </c>
      <c r="E10" s="84" t="str">
        <f>HYPERLINK("https://youtu.be/cSXkEWX_Z3w","channel 2")</f>
        <v>channel 2</v>
      </c>
      <c r="G10" s="47"/>
      <c r="H10" s="119"/>
      <c r="I10" s="47"/>
    </row>
    <row r="11">
      <c r="B11" s="72" t="s">
        <v>15</v>
      </c>
      <c r="C11" s="73" t="s">
        <v>1834</v>
      </c>
      <c r="D11" s="79" t="s">
        <v>1413</v>
      </c>
      <c r="E11" s="84" t="str">
        <f>HYPERLINK("https://youtu.be/kDQJBtB8nVI","channel 1")</f>
        <v>channel 1</v>
      </c>
    </row>
    <row r="12">
      <c r="B12" s="72" t="s">
        <v>9</v>
      </c>
      <c r="C12" s="73" t="s">
        <v>1834</v>
      </c>
      <c r="D12" s="74" t="s">
        <v>1876</v>
      </c>
      <c r="E12" s="84" t="str">
        <f>HYPERLINK("https://youtu.be/cChFZBtaHkA","channel 2")</f>
        <v>channel 2</v>
      </c>
    </row>
    <row r="13">
      <c r="B13" s="72" t="s">
        <v>1876</v>
      </c>
      <c r="C13" s="73" t="s">
        <v>1845</v>
      </c>
      <c r="D13" s="74" t="s">
        <v>1875</v>
      </c>
      <c r="E13" s="84" t="str">
        <f>HYPERLINK("https://youtu.be/67TtB-8eUwI","channel 1")</f>
        <v>channel 1</v>
      </c>
    </row>
    <row r="14">
      <c r="B14" s="72" t="s">
        <v>9</v>
      </c>
      <c r="C14" s="73" t="s">
        <v>1827</v>
      </c>
      <c r="D14" s="79" t="s">
        <v>1413</v>
      </c>
      <c r="E14" s="84" t="str">
        <f>HYPERLINK("https://youtu.be/whnYcLd9f18","channel 2")</f>
        <v>channel 2</v>
      </c>
    </row>
    <row r="15">
      <c r="B15" s="72" t="s">
        <v>1875</v>
      </c>
      <c r="C15" s="75" t="s">
        <v>1845</v>
      </c>
      <c r="D15" s="74" t="s">
        <v>15</v>
      </c>
      <c r="E15" s="84" t="str">
        <f>HYPERLINK("https://youtu.be/doQm05VLJK8","channel 1")</f>
        <v>channel 1</v>
      </c>
    </row>
    <row r="16">
      <c r="B16" s="72" t="s">
        <v>1876</v>
      </c>
      <c r="C16" s="75" t="s">
        <v>1870</v>
      </c>
      <c r="D16" s="79" t="s">
        <v>1413</v>
      </c>
      <c r="E16" s="84" t="str">
        <f>HYPERLINK("https://youtu.be/36MWBf_g5aE","channel 2")</f>
        <v>channel 2</v>
      </c>
    </row>
    <row r="17">
      <c r="B17" s="72" t="s">
        <v>9</v>
      </c>
      <c r="C17" s="75" t="s">
        <v>1826</v>
      </c>
      <c r="D17" s="74" t="s">
        <v>15</v>
      </c>
      <c r="E17" s="84" t="str">
        <f>HYPERLINK("https://youtu.be/Qt6n-b1Gv6Q","channel 1")</f>
        <v>channel 1</v>
      </c>
    </row>
    <row r="18">
      <c r="B18" s="72" t="s">
        <v>1875</v>
      </c>
      <c r="C18" s="75" t="s">
        <v>1877</v>
      </c>
      <c r="D18" s="79" t="s">
        <v>1413</v>
      </c>
      <c r="E18" s="84" t="str">
        <f>HYPERLINK("https://youtu.be/L7EtWkBEYkE","channel 2")</f>
        <v>channel 2</v>
      </c>
    </row>
    <row r="19">
      <c r="B19" s="72" t="s">
        <v>1876</v>
      </c>
      <c r="C19" s="73" t="s">
        <v>1850</v>
      </c>
      <c r="D19" s="74" t="s">
        <v>15</v>
      </c>
      <c r="E19" s="84" t="str">
        <f>HYPERLINK("https://youtu.be/wViJyi25Ycg","channel 1")</f>
        <v>channel 1</v>
      </c>
    </row>
    <row r="20">
      <c r="B20" s="72" t="s">
        <v>1875</v>
      </c>
      <c r="C20" s="73" t="s">
        <v>1854</v>
      </c>
      <c r="D20" s="74" t="s">
        <v>9</v>
      </c>
      <c r="E20" s="84" t="str">
        <f>HYPERLINK("https://youtu.be/FemTbAG-rPc","channel 2")</f>
        <v>channel 2</v>
      </c>
    </row>
    <row r="21">
      <c r="B21" s="79" t="s">
        <v>1413</v>
      </c>
      <c r="C21" s="75" t="s">
        <v>1840</v>
      </c>
      <c r="D21" s="74" t="s">
        <v>15</v>
      </c>
      <c r="E21" s="84" t="str">
        <f>HYPERLINK("https://youtu.be/8JrTMdF-5Do","channel 1")</f>
        <v>channel 1</v>
      </c>
    </row>
    <row r="22">
      <c r="B22" s="72" t="s">
        <v>1876</v>
      </c>
      <c r="C22" s="75" t="s">
        <v>1845</v>
      </c>
      <c r="D22" s="74" t="s">
        <v>9</v>
      </c>
      <c r="E22" s="84" t="str">
        <f>HYPERLINK("https://youtu.be/hifjst21JQQ","channel 2")</f>
        <v>channel 2</v>
      </c>
    </row>
    <row r="23">
      <c r="B23" s="42" t="s">
        <v>1878</v>
      </c>
      <c r="C23" s="3"/>
      <c r="D23" s="3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895</v>
      </c>
      <c r="C25" s="70" t="s">
        <v>1824</v>
      </c>
      <c r="D25" s="71" t="s">
        <v>1879</v>
      </c>
      <c r="E25" s="32" t="str">
        <f>HYPERLINK("https://youtu.be/SBsSQdfv0Xs","channel 1")</f>
        <v>channel 1</v>
      </c>
    </row>
    <row r="26">
      <c r="B26" s="72" t="s">
        <v>336</v>
      </c>
      <c r="C26" s="73" t="s">
        <v>1849</v>
      </c>
      <c r="D26" s="74" t="s">
        <v>1582</v>
      </c>
      <c r="E26" s="84" t="str">
        <f>HYPERLINK("https://youtu.be/PjO--xApZgQ","channel 2")</f>
        <v>channel 2</v>
      </c>
    </row>
    <row r="27">
      <c r="B27" s="72" t="s">
        <v>1560</v>
      </c>
      <c r="C27" s="73" t="s">
        <v>1834</v>
      </c>
      <c r="D27" s="74" t="s">
        <v>895</v>
      </c>
      <c r="E27" s="84" t="str">
        <f>HYPERLINK("https://youtu.be/grAFLfaPvU0","channel 1")</f>
        <v>channel 1</v>
      </c>
    </row>
    <row r="28">
      <c r="B28" s="72" t="s">
        <v>336</v>
      </c>
      <c r="C28" s="73" t="s">
        <v>1827</v>
      </c>
      <c r="D28" s="74" t="s">
        <v>1879</v>
      </c>
      <c r="E28" s="84" t="str">
        <f>HYPERLINK("https://youtu.be/bkpOQioMhdw","channel 2")</f>
        <v>channel 2</v>
      </c>
    </row>
    <row r="29">
      <c r="B29" s="72" t="s">
        <v>1560</v>
      </c>
      <c r="C29" s="73" t="s">
        <v>1849</v>
      </c>
      <c r="D29" s="74" t="s">
        <v>1582</v>
      </c>
      <c r="E29" s="84" t="str">
        <f>HYPERLINK("https://youtu.be/dDSLVYRqDyc","channel 1")</f>
        <v>channel 1</v>
      </c>
    </row>
    <row r="30">
      <c r="B30" s="72" t="s">
        <v>336</v>
      </c>
      <c r="C30" s="73" t="s">
        <v>1849</v>
      </c>
      <c r="D30" s="74" t="s">
        <v>895</v>
      </c>
      <c r="E30" s="84" t="str">
        <f>HYPERLINK("https://youtu.be/S6RMh_bZcT8","channel 2")</f>
        <v>channel 2</v>
      </c>
    </row>
    <row r="31">
      <c r="B31" s="72" t="s">
        <v>1560</v>
      </c>
      <c r="C31" s="73" t="s">
        <v>1827</v>
      </c>
      <c r="D31" s="74" t="s">
        <v>1879</v>
      </c>
      <c r="E31" s="84" t="str">
        <f>HYPERLINK("https://youtu.be/VGBRIJl3vtU","channel 1")</f>
        <v>channel 1</v>
      </c>
    </row>
    <row r="32">
      <c r="B32" s="72" t="s">
        <v>1582</v>
      </c>
      <c r="C32" s="73" t="s">
        <v>1830</v>
      </c>
      <c r="D32" s="74" t="s">
        <v>895</v>
      </c>
      <c r="E32" s="84" t="str">
        <f>HYPERLINK("https://youtu.be/qkziRFrDdYI","channel 2")</f>
        <v>channel 2</v>
      </c>
    </row>
    <row r="33">
      <c r="B33" s="72" t="s">
        <v>1560</v>
      </c>
      <c r="C33" s="73" t="s">
        <v>1831</v>
      </c>
      <c r="D33" s="74" t="s">
        <v>336</v>
      </c>
      <c r="E33" s="84" t="str">
        <f>HYPERLINK("https://youtu.be/Hud1Uy7gB9s","channel 1")</f>
        <v>channel 1</v>
      </c>
    </row>
    <row r="34">
      <c r="B34" s="72" t="s">
        <v>1582</v>
      </c>
      <c r="C34" s="73" t="s">
        <v>1841</v>
      </c>
      <c r="D34" s="74" t="s">
        <v>1879</v>
      </c>
      <c r="E34" s="84" t="str">
        <f>HYPERLINK("https://youtu.be/4eQ8z1929y4","channel 2")</f>
        <v>channel 2</v>
      </c>
    </row>
    <row r="35">
      <c r="B35" s="72" t="s">
        <v>1879</v>
      </c>
      <c r="C35" s="73" t="s">
        <v>1828</v>
      </c>
      <c r="D35" s="74" t="s">
        <v>895</v>
      </c>
      <c r="E35" s="84" t="str">
        <f>HYPERLINK("https://youtu.be/ViBoqXi_LEg","channel 1")</f>
        <v>channel 1</v>
      </c>
    </row>
    <row r="36">
      <c r="B36" s="72" t="s">
        <v>1582</v>
      </c>
      <c r="C36" s="73" t="s">
        <v>1830</v>
      </c>
      <c r="D36" s="74" t="s">
        <v>336</v>
      </c>
      <c r="E36" s="84" t="str">
        <f>HYPERLINK("https://youtu.be/li9CnzLSPQc","channel 2")</f>
        <v>channel 2</v>
      </c>
    </row>
    <row r="37">
      <c r="B37" s="72" t="s">
        <v>895</v>
      </c>
      <c r="C37" s="75" t="s">
        <v>1836</v>
      </c>
      <c r="D37" s="74" t="s">
        <v>1560</v>
      </c>
      <c r="E37" s="84" t="str">
        <f>HYPERLINK("https://youtu.be/IuWI1DN8KfE","channel 1")</f>
        <v>channel 1</v>
      </c>
    </row>
    <row r="38">
      <c r="B38" s="72" t="s">
        <v>1879</v>
      </c>
      <c r="C38" s="75" t="s">
        <v>1833</v>
      </c>
      <c r="D38" s="74" t="s">
        <v>336</v>
      </c>
      <c r="E38" s="84" t="str">
        <f>HYPERLINK("https://youtu.be/OHk7uf9SfiQ","channel 2")</f>
        <v>channel 2</v>
      </c>
    </row>
    <row r="39">
      <c r="B39" s="72" t="s">
        <v>1582</v>
      </c>
      <c r="C39" s="75" t="s">
        <v>1848</v>
      </c>
      <c r="D39" s="74" t="s">
        <v>1560</v>
      </c>
      <c r="E39" s="84" t="str">
        <f>HYPERLINK("https://youtu.be/j8l97BiEmVo","channel 1")</f>
        <v>channel 1</v>
      </c>
    </row>
    <row r="40">
      <c r="B40" s="72" t="s">
        <v>895</v>
      </c>
      <c r="C40" s="75" t="s">
        <v>1832</v>
      </c>
      <c r="D40" s="74" t="s">
        <v>336</v>
      </c>
      <c r="E40" s="84" t="str">
        <f>HYPERLINK("https://youtu.be/P6pco9uAvq8","channel 2")</f>
        <v>channel 2</v>
      </c>
    </row>
    <row r="41">
      <c r="B41" s="72" t="s">
        <v>1879</v>
      </c>
      <c r="C41" s="73" t="s">
        <v>1826</v>
      </c>
      <c r="D41" s="74" t="s">
        <v>1560</v>
      </c>
      <c r="E41" s="84" t="str">
        <f>HYPERLINK("https://youtu.be/_954MiIFeq0","channel 1")</f>
        <v>channel 1</v>
      </c>
    </row>
    <row r="42">
      <c r="B42" s="72" t="s">
        <v>895</v>
      </c>
      <c r="C42" s="73" t="s">
        <v>1824</v>
      </c>
      <c r="D42" s="74" t="s">
        <v>1582</v>
      </c>
      <c r="E42" s="84" t="str">
        <f>HYPERLINK("https://youtu.be/dRISD0bThqY","channel 2")</f>
        <v>channel 2</v>
      </c>
    </row>
    <row r="43">
      <c r="B43" s="72" t="s">
        <v>336</v>
      </c>
      <c r="C43" s="75" t="s">
        <v>1824</v>
      </c>
      <c r="D43" s="74" t="s">
        <v>1560</v>
      </c>
      <c r="E43" s="84" t="str">
        <f>HYPERLINK("https://youtu.be/2JqF1GRI7gI","channel 1")</f>
        <v>channel 1</v>
      </c>
    </row>
    <row r="44">
      <c r="B44" s="72" t="s">
        <v>1879</v>
      </c>
      <c r="C44" s="75" t="s">
        <v>1835</v>
      </c>
      <c r="D44" s="74" t="s">
        <v>1582</v>
      </c>
      <c r="E44" s="84" t="str">
        <f>HYPERLINK("https://youtu.be/kKwcR9GoirU","channel 2")</f>
        <v>channel 2</v>
      </c>
    </row>
    <row r="45">
      <c r="B45" s="42" t="s">
        <v>546</v>
      </c>
      <c r="C45" s="3"/>
      <c r="D45" s="3"/>
      <c r="E45" s="4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1181</v>
      </c>
      <c r="C47" s="70" t="s">
        <v>1834</v>
      </c>
      <c r="D47" s="71" t="s">
        <v>1858</v>
      </c>
      <c r="E47" s="32" t="str">
        <f>HYPERLINK("https://youtu.be/wOOGxJzkANA","channel 1")</f>
        <v>channel 1</v>
      </c>
    </row>
    <row r="48">
      <c r="B48" s="72" t="s">
        <v>659</v>
      </c>
      <c r="C48" s="73" t="s">
        <v>1834</v>
      </c>
      <c r="D48" s="74" t="s">
        <v>1881</v>
      </c>
      <c r="E48" s="84" t="str">
        <f>HYPERLINK("https://youtu.be/DW0kVHNlemQ","channel 2")</f>
        <v>channel 2</v>
      </c>
    </row>
    <row r="49">
      <c r="B49" s="72" t="s">
        <v>1679</v>
      </c>
      <c r="C49" s="73" t="s">
        <v>1832</v>
      </c>
      <c r="D49" s="74" t="s">
        <v>1181</v>
      </c>
      <c r="E49" s="84" t="str">
        <f>HYPERLINK("https://youtu.be/M-KGrE-ikDg","channel 1")</f>
        <v>channel 1</v>
      </c>
    </row>
    <row r="50">
      <c r="B50" s="72" t="s">
        <v>659</v>
      </c>
      <c r="C50" s="73" t="s">
        <v>1827</v>
      </c>
      <c r="D50" s="74" t="s">
        <v>1858</v>
      </c>
      <c r="E50" s="84" t="str">
        <f>HYPERLINK("https://youtu.be/pxrpeGiF3C0","channel 2")</f>
        <v>channel 2</v>
      </c>
    </row>
    <row r="51">
      <c r="B51" s="72" t="s">
        <v>1679</v>
      </c>
      <c r="C51" s="73" t="s">
        <v>1831</v>
      </c>
      <c r="D51" s="74" t="s">
        <v>1881</v>
      </c>
      <c r="E51" s="84" t="str">
        <f>HYPERLINK("https://youtu.be/0J-QLTpZo1o","channel 1")</f>
        <v>channel 1</v>
      </c>
    </row>
    <row r="52">
      <c r="B52" s="72" t="s">
        <v>659</v>
      </c>
      <c r="C52" s="73" t="s">
        <v>1833</v>
      </c>
      <c r="D52" s="74" t="s">
        <v>1181</v>
      </c>
      <c r="E52" s="84" t="str">
        <f>HYPERLINK("https://youtu.be/dJRhjiVKaSk","channel 2")</f>
        <v>channel 2</v>
      </c>
    </row>
    <row r="53">
      <c r="B53" s="72" t="s">
        <v>1679</v>
      </c>
      <c r="C53" s="73" t="s">
        <v>1882</v>
      </c>
      <c r="D53" s="74" t="s">
        <v>1858</v>
      </c>
      <c r="E53" s="84" t="str">
        <f>HYPERLINK("https://youtu.be/LYax4UgmhmY","channel 1")</f>
        <v>channel 1</v>
      </c>
    </row>
    <row r="54">
      <c r="B54" s="72" t="s">
        <v>1881</v>
      </c>
      <c r="C54" s="73" t="s">
        <v>1840</v>
      </c>
      <c r="D54" s="74" t="s">
        <v>1181</v>
      </c>
      <c r="E54" s="84" t="str">
        <f>HYPERLINK("https://youtu.be/1vRHTLCyzDU","channel 2")</f>
        <v>channel 2</v>
      </c>
    </row>
    <row r="55">
      <c r="B55" s="72" t="s">
        <v>1679</v>
      </c>
      <c r="C55" s="73" t="s">
        <v>1854</v>
      </c>
      <c r="D55" s="74" t="s">
        <v>659</v>
      </c>
      <c r="E55" s="84" t="str">
        <f>HYPERLINK("https://youtu.be/yxOIcBSVf4Y","channel 1")</f>
        <v>channel 1</v>
      </c>
    </row>
    <row r="56">
      <c r="B56" s="72" t="s">
        <v>1881</v>
      </c>
      <c r="C56" s="73" t="s">
        <v>1870</v>
      </c>
      <c r="D56" s="74" t="s">
        <v>1858</v>
      </c>
      <c r="E56" s="84" t="str">
        <f>HYPERLINK("https://youtu.be/Yv7sesJoeOU","channel 2")</f>
        <v>channel 2</v>
      </c>
      <c r="F56" s="113"/>
    </row>
    <row r="57">
      <c r="B57" s="72" t="s">
        <v>1858</v>
      </c>
      <c r="C57" s="73" t="s">
        <v>1883</v>
      </c>
      <c r="D57" s="74" t="s">
        <v>1181</v>
      </c>
      <c r="E57" s="84" t="str">
        <f>HYPERLINK("https://youtu.be/doFpHa6_Ukc","channel 1")</f>
        <v>channel 1</v>
      </c>
      <c r="G57" s="114"/>
    </row>
    <row r="58">
      <c r="B58" s="72" t="s">
        <v>1881</v>
      </c>
      <c r="C58" s="73" t="s">
        <v>1834</v>
      </c>
      <c r="D58" s="74" t="s">
        <v>659</v>
      </c>
      <c r="E58" s="84" t="str">
        <f>HYPERLINK("https://youtu.be/uPkd3SjQBRs","channel 2")</f>
        <v>channel 2</v>
      </c>
    </row>
    <row r="59">
      <c r="B59" s="72" t="s">
        <v>1181</v>
      </c>
      <c r="C59" s="75" t="s">
        <v>1826</v>
      </c>
      <c r="D59" s="74" t="s">
        <v>1679</v>
      </c>
      <c r="E59" s="84" t="str">
        <f>HYPERLINK("https://youtu.be/pJMgBleTVJA","channel 1")</f>
        <v>channel 1</v>
      </c>
    </row>
    <row r="60">
      <c r="B60" s="72" t="s">
        <v>1858</v>
      </c>
      <c r="C60" s="75" t="s">
        <v>1841</v>
      </c>
      <c r="D60" s="74" t="s">
        <v>659</v>
      </c>
      <c r="E60" s="84" t="str">
        <f>HYPERLINK("https://youtu.be/8oA0_zbehwY","channel 2")</f>
        <v>channel 2</v>
      </c>
    </row>
    <row r="61">
      <c r="B61" s="72" t="s">
        <v>1881</v>
      </c>
      <c r="C61" s="75" t="s">
        <v>1848</v>
      </c>
      <c r="D61" s="74" t="s">
        <v>1679</v>
      </c>
      <c r="E61" s="84" t="str">
        <f>HYPERLINK("https://youtu.be/5HlhYZp6CUk","channel 1")</f>
        <v>channel 1</v>
      </c>
    </row>
    <row r="62">
      <c r="B62" s="72" t="s">
        <v>1181</v>
      </c>
      <c r="C62" s="75" t="s">
        <v>1833</v>
      </c>
      <c r="D62" s="74" t="s">
        <v>659</v>
      </c>
      <c r="E62" s="84" t="str">
        <f>HYPERLINK("https://youtu.be/v8_i69l_574","channel 2")</f>
        <v>channel 2</v>
      </c>
    </row>
    <row r="63">
      <c r="B63" s="72" t="s">
        <v>1858</v>
      </c>
      <c r="C63" s="73" t="s">
        <v>1870</v>
      </c>
      <c r="D63" s="74" t="s">
        <v>1679</v>
      </c>
      <c r="E63" s="84" t="str">
        <f>HYPERLINK("https://youtu.be/3jj3wi1eIzQ","channel 1")</f>
        <v>channel 1</v>
      </c>
    </row>
    <row r="64">
      <c r="B64" s="72" t="s">
        <v>1181</v>
      </c>
      <c r="C64" s="73" t="s">
        <v>1831</v>
      </c>
      <c r="D64" s="74" t="s">
        <v>1881</v>
      </c>
      <c r="E64" s="84" t="str">
        <f>HYPERLINK("https://youtu.be/L6C6EtVpOTc","channel 2")</f>
        <v>channel 2</v>
      </c>
    </row>
    <row r="65">
      <c r="B65" s="72" t="s">
        <v>659</v>
      </c>
      <c r="C65" s="75" t="s">
        <v>1864</v>
      </c>
      <c r="D65" s="74" t="s">
        <v>1679</v>
      </c>
      <c r="E65" s="84" t="str">
        <f>HYPERLINK("https://youtu.be/AUK4Z9PnM60","channel 1")</f>
        <v>channel 1</v>
      </c>
    </row>
    <row r="66">
      <c r="B66" s="72" t="s">
        <v>1858</v>
      </c>
      <c r="C66" s="75" t="s">
        <v>1870</v>
      </c>
      <c r="D66" s="74" t="s">
        <v>1881</v>
      </c>
      <c r="E66" s="84" t="str">
        <f>HYPERLINK("https://youtu.be/NW4mTmMntXM","channel 2")</f>
        <v>channel 2</v>
      </c>
    </row>
    <row r="67">
      <c r="B67" s="42" t="s">
        <v>1276</v>
      </c>
      <c r="C67" s="3"/>
      <c r="D67" s="3"/>
      <c r="E67" s="4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1508</v>
      </c>
      <c r="C69" s="70" t="s">
        <v>1854</v>
      </c>
      <c r="D69" s="71" t="s">
        <v>1718</v>
      </c>
      <c r="E69" s="32" t="str">
        <f>HYPERLINK("https://youtu.be/5hhiEA6QR58","channel 1")</f>
        <v>channel 1</v>
      </c>
    </row>
    <row r="70">
      <c r="B70" s="72" t="s">
        <v>1888</v>
      </c>
      <c r="C70" s="73" t="s">
        <v>1837</v>
      </c>
      <c r="D70" s="74" t="s">
        <v>1889</v>
      </c>
      <c r="E70" s="84" t="str">
        <f>HYPERLINK("https://youtu.be/NF-WOl_5Nmw","channel 2")</f>
        <v>channel 2</v>
      </c>
    </row>
    <row r="71">
      <c r="B71" s="72" t="s">
        <v>1538</v>
      </c>
      <c r="C71" s="73" t="s">
        <v>1835</v>
      </c>
      <c r="D71" s="74" t="s">
        <v>1508</v>
      </c>
      <c r="E71" s="84" t="str">
        <f>HYPERLINK("https://youtu.be/69bFle49TO0","channel 1")</f>
        <v>channel 1</v>
      </c>
    </row>
    <row r="72">
      <c r="B72" s="72" t="s">
        <v>1888</v>
      </c>
      <c r="C72" s="73" t="s">
        <v>1845</v>
      </c>
      <c r="D72" s="74" t="s">
        <v>1718</v>
      </c>
      <c r="E72" s="84" t="str">
        <f>HYPERLINK("https://youtu.be/FZZn7wI_bu0","channel 2")</f>
        <v>channel 2</v>
      </c>
    </row>
    <row r="73">
      <c r="B73" s="72" t="s">
        <v>1538</v>
      </c>
      <c r="C73" s="73" t="s">
        <v>1845</v>
      </c>
      <c r="D73" s="74" t="s">
        <v>1889</v>
      </c>
      <c r="E73" s="84" t="str">
        <f>HYPERLINK("https://youtu.be/-pCUCswj3d0","channel 1")</f>
        <v>channel 1</v>
      </c>
    </row>
    <row r="74">
      <c r="B74" s="72" t="s">
        <v>1888</v>
      </c>
      <c r="C74" s="73" t="s">
        <v>1833</v>
      </c>
      <c r="D74" s="74" t="s">
        <v>1508</v>
      </c>
      <c r="E74" s="84" t="str">
        <f>HYPERLINK("https://youtu.be/QwblCTTFLFY","channel 2")</f>
        <v>channel 2</v>
      </c>
    </row>
    <row r="75">
      <c r="B75" s="72" t="s">
        <v>1538</v>
      </c>
      <c r="C75" s="73" t="s">
        <v>1891</v>
      </c>
      <c r="D75" s="74" t="s">
        <v>1718</v>
      </c>
      <c r="E75" s="84" t="str">
        <f>HYPERLINK("https://youtu.be/Up2_NaxOo4c","channel 1")</f>
        <v>channel 1</v>
      </c>
    </row>
    <row r="76">
      <c r="B76" s="72" t="s">
        <v>1889</v>
      </c>
      <c r="C76" s="73" t="s">
        <v>1892</v>
      </c>
      <c r="D76" s="74" t="s">
        <v>1508</v>
      </c>
      <c r="E76" s="84" t="str">
        <f>HYPERLINK("https://youtu.be/3HmqKg4V95Q","channel 2")</f>
        <v>channel 2</v>
      </c>
    </row>
    <row r="77">
      <c r="B77" s="72" t="s">
        <v>1538</v>
      </c>
      <c r="C77" s="73" t="s">
        <v>1827</v>
      </c>
      <c r="D77" s="74" t="s">
        <v>1888</v>
      </c>
      <c r="E77" s="84" t="str">
        <f>HYPERLINK("https://youtu.be/JH_XVINg0ro","channel 1")</f>
        <v>channel 1</v>
      </c>
    </row>
    <row r="78">
      <c r="B78" s="72" t="s">
        <v>1889</v>
      </c>
      <c r="C78" s="73" t="s">
        <v>1826</v>
      </c>
      <c r="D78" s="74" t="s">
        <v>1718</v>
      </c>
      <c r="E78" s="84" t="str">
        <f>HYPERLINK("https://youtu.be/3I7MY9AIvY4","channel 2")</f>
        <v>channel 2</v>
      </c>
    </row>
    <row r="79">
      <c r="B79" s="72" t="s">
        <v>1718</v>
      </c>
      <c r="C79" s="73" t="s">
        <v>1877</v>
      </c>
      <c r="D79" s="74" t="s">
        <v>1508</v>
      </c>
      <c r="E79" s="84" t="str">
        <f>HYPERLINK("https://youtu.be/IE5umwPthEU","channel 1")</f>
        <v>channel 1</v>
      </c>
    </row>
    <row r="80">
      <c r="B80" s="72" t="s">
        <v>1889</v>
      </c>
      <c r="C80" s="73" t="s">
        <v>1832</v>
      </c>
      <c r="D80" s="74" t="s">
        <v>1888</v>
      </c>
      <c r="E80" s="84" t="str">
        <f>HYPERLINK("https://youtu.be/lJ0LkdbZ-tQ","channel 2")</f>
        <v>channel 2</v>
      </c>
    </row>
    <row r="81">
      <c r="B81" s="72" t="s">
        <v>1508</v>
      </c>
      <c r="C81" s="75" t="s">
        <v>1871</v>
      </c>
      <c r="D81" s="74" t="s">
        <v>1538</v>
      </c>
      <c r="E81" s="84" t="str">
        <f>HYPERLINK("https://youtu.be/cJq110I9j2Q","channel 1")</f>
        <v>channel 1</v>
      </c>
    </row>
    <row r="82">
      <c r="B82" s="72" t="s">
        <v>1718</v>
      </c>
      <c r="C82" s="75" t="s">
        <v>1861</v>
      </c>
      <c r="D82" s="74" t="s">
        <v>1888</v>
      </c>
      <c r="E82" s="84" t="str">
        <f>HYPERLINK("https://youtu.be/j1S0ul33GGI","channel 2")</f>
        <v>channel 2</v>
      </c>
    </row>
    <row r="83">
      <c r="B83" s="72" t="s">
        <v>1889</v>
      </c>
      <c r="C83" s="75" t="s">
        <v>1837</v>
      </c>
      <c r="D83" s="74" t="s">
        <v>1538</v>
      </c>
      <c r="E83" s="84" t="str">
        <f>HYPERLINK("https://youtu.be/pUDdNIEZqGM","channel 1")</f>
        <v>channel 1</v>
      </c>
    </row>
    <row r="84">
      <c r="B84" s="72" t="s">
        <v>1508</v>
      </c>
      <c r="C84" s="75" t="s">
        <v>1870</v>
      </c>
      <c r="D84" s="74" t="s">
        <v>1888</v>
      </c>
      <c r="E84" s="84" t="str">
        <f>HYPERLINK("https://youtu.be/FUJ3RfURs7c","channel 2")</f>
        <v>channel 2</v>
      </c>
    </row>
    <row r="85">
      <c r="B85" s="72" t="s">
        <v>1718</v>
      </c>
      <c r="C85" s="73" t="s">
        <v>1847</v>
      </c>
      <c r="D85" s="74" t="s">
        <v>1538</v>
      </c>
      <c r="E85" s="84" t="str">
        <f>HYPERLINK("https://youtu.be/RJrbK4J0apM","channel 1")</f>
        <v>channel 1</v>
      </c>
    </row>
    <row r="86">
      <c r="B86" s="72" t="s">
        <v>1508</v>
      </c>
      <c r="C86" s="73" t="s">
        <v>1827</v>
      </c>
      <c r="D86" s="74" t="s">
        <v>1889</v>
      </c>
      <c r="E86" s="84" t="str">
        <f>HYPERLINK("https://youtu.be/IweJcOaHVXU","channel 2")</f>
        <v>channel 2</v>
      </c>
    </row>
    <row r="87">
      <c r="B87" s="72" t="s">
        <v>1888</v>
      </c>
      <c r="C87" s="75" t="s">
        <v>1837</v>
      </c>
      <c r="D87" s="74" t="s">
        <v>1538</v>
      </c>
      <c r="E87" s="84" t="str">
        <f>HYPERLINK("https://youtu.be/nlQeXX03WIA","channel 1")</f>
        <v>channel 1</v>
      </c>
    </row>
    <row r="88">
      <c r="B88" s="72" t="s">
        <v>1718</v>
      </c>
      <c r="C88" s="75" t="s">
        <v>1834</v>
      </c>
      <c r="D88" s="74" t="s">
        <v>1889</v>
      </c>
      <c r="E88" s="84" t="str">
        <f>HYPERLINK("https://youtu.be/7rtuu_P1lN8","channel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1880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1106</v>
      </c>
      <c r="C3" s="73" t="s">
        <v>1830</v>
      </c>
      <c r="D3" s="74" t="s">
        <v>1066</v>
      </c>
      <c r="E3" s="103" t="str">
        <f>HYPERLINK("https://youtu.be/7pF37VvimPc","channel 1")</f>
        <v>channel 1</v>
      </c>
    </row>
    <row r="4">
      <c r="B4" s="72" t="s">
        <v>665</v>
      </c>
      <c r="C4" s="73" t="s">
        <v>1847</v>
      </c>
      <c r="D4" s="74" t="s">
        <v>48</v>
      </c>
      <c r="E4" s="103" t="str">
        <f>HYPERLINK("https://youtu.be/YetxRkumKmI","channel 2")</f>
        <v>channel 2</v>
      </c>
    </row>
    <row r="5">
      <c r="B5" s="72" t="s">
        <v>1711</v>
      </c>
      <c r="C5" s="73" t="s">
        <v>1830</v>
      </c>
      <c r="D5" s="74" t="s">
        <v>1106</v>
      </c>
      <c r="E5" s="103" t="str">
        <f>HYPERLINK("https://youtu.be/BrEAMSmUanw","channel 1")</f>
        <v>channel 1</v>
      </c>
    </row>
    <row r="6">
      <c r="B6" s="72" t="s">
        <v>665</v>
      </c>
      <c r="C6" s="73" t="s">
        <v>1870</v>
      </c>
      <c r="D6" s="74" t="s">
        <v>1066</v>
      </c>
      <c r="E6" s="103" t="str">
        <f>HYPERLINK("https://youtu.be/UFyODoZBnf0","channel 2")</f>
        <v>channel 2</v>
      </c>
    </row>
    <row r="7">
      <c r="B7" s="72" t="s">
        <v>1711</v>
      </c>
      <c r="C7" s="73" t="s">
        <v>1827</v>
      </c>
      <c r="D7" s="74" t="s">
        <v>48</v>
      </c>
      <c r="E7" s="103" t="str">
        <f>HYPERLINK("https://youtu.be/uFPWdHC928A","channel 1")</f>
        <v>channel 1</v>
      </c>
    </row>
    <row r="8">
      <c r="B8" s="72" t="s">
        <v>665</v>
      </c>
      <c r="C8" s="73" t="s">
        <v>1833</v>
      </c>
      <c r="D8" s="74" t="s">
        <v>1106</v>
      </c>
      <c r="E8" s="103" t="str">
        <f>HYPERLINK("https://youtu.be/O6HEnIJffw8","channel 2")</f>
        <v>channel 2</v>
      </c>
    </row>
    <row r="9">
      <c r="B9" s="72" t="s">
        <v>1711</v>
      </c>
      <c r="C9" s="73" t="s">
        <v>1834</v>
      </c>
      <c r="D9" s="74" t="s">
        <v>1066</v>
      </c>
      <c r="E9" s="103" t="str">
        <f>HYPERLINK("https://youtu.be/KGdivZNSr0Y","channel 1")</f>
        <v>channel 1</v>
      </c>
      <c r="G9" s="47"/>
      <c r="H9" s="119"/>
      <c r="I9" s="47"/>
    </row>
    <row r="10">
      <c r="B10" s="72" t="s">
        <v>48</v>
      </c>
      <c r="C10" s="73" t="s">
        <v>1824</v>
      </c>
      <c r="D10" s="74" t="s">
        <v>1106</v>
      </c>
      <c r="E10" s="103" t="str">
        <f>HYPERLINK("https://youtu.be/UM8lZ7hCFO4","channel 2")</f>
        <v>channel 2</v>
      </c>
      <c r="G10" s="47"/>
      <c r="H10" s="119"/>
      <c r="I10" s="47"/>
    </row>
    <row r="11">
      <c r="B11" s="72" t="s">
        <v>1711</v>
      </c>
      <c r="C11" s="73" t="s">
        <v>1870</v>
      </c>
      <c r="D11" s="74" t="s">
        <v>665</v>
      </c>
      <c r="E11" s="103" t="str">
        <f>HYPERLINK("https://youtu.be/JAI1wlz5kEk","channel 1")</f>
        <v>channel 1</v>
      </c>
    </row>
    <row r="12">
      <c r="B12" s="72" t="s">
        <v>48</v>
      </c>
      <c r="C12" s="73" t="s">
        <v>1849</v>
      </c>
      <c r="D12" s="74" t="s">
        <v>1066</v>
      </c>
      <c r="E12" s="103" t="str">
        <f>HYPERLINK("https://youtu.be/ye2D7Jxjfh8","channel 2")</f>
        <v>channel 2</v>
      </c>
    </row>
    <row r="13">
      <c r="B13" s="72" t="s">
        <v>1066</v>
      </c>
      <c r="C13" s="73" t="s">
        <v>1826</v>
      </c>
      <c r="D13" s="74" t="s">
        <v>1106</v>
      </c>
      <c r="E13" s="103" t="str">
        <f>HYPERLINK("https://youtu.be/dV6z0dIOcto","channel 1")</f>
        <v>channel 1</v>
      </c>
    </row>
    <row r="14">
      <c r="B14" s="72" t="s">
        <v>48</v>
      </c>
      <c r="C14" s="73" t="s">
        <v>1849</v>
      </c>
      <c r="D14" s="74" t="s">
        <v>665</v>
      </c>
      <c r="E14" s="103" t="str">
        <f>HYPERLINK("https://youtu.be/EFeCArxoAtE","channel 2")</f>
        <v>channel 2</v>
      </c>
    </row>
    <row r="15">
      <c r="B15" s="72" t="s">
        <v>1106</v>
      </c>
      <c r="C15" s="75" t="s">
        <v>1832</v>
      </c>
      <c r="D15" s="74" t="s">
        <v>1711</v>
      </c>
      <c r="E15" s="103" t="str">
        <f>HYPERLINK("https://youtu.be/WUGH4qUFKIc","channel 1")</f>
        <v>channel 1</v>
      </c>
    </row>
    <row r="16">
      <c r="B16" s="72" t="s">
        <v>1066</v>
      </c>
      <c r="C16" s="75" t="s">
        <v>1827</v>
      </c>
      <c r="D16" s="74" t="s">
        <v>665</v>
      </c>
      <c r="E16" s="103" t="str">
        <f>HYPERLINK("https://youtu.be/qvH_lJw-RIM","channel 2")</f>
        <v>channel 2</v>
      </c>
    </row>
    <row r="17">
      <c r="B17" s="72" t="s">
        <v>48</v>
      </c>
      <c r="C17" s="75" t="s">
        <v>1849</v>
      </c>
      <c r="D17" s="74" t="s">
        <v>1711</v>
      </c>
      <c r="E17" s="103" t="str">
        <f>HYPERLINK("https://youtu.be/gaFvQj4RDNY","channel 1")</f>
        <v>channel 1</v>
      </c>
    </row>
    <row r="18">
      <c r="B18" s="72" t="s">
        <v>1106</v>
      </c>
      <c r="C18" s="75" t="s">
        <v>1837</v>
      </c>
      <c r="D18" s="74" t="s">
        <v>665</v>
      </c>
      <c r="E18" s="103" t="str">
        <f>HYPERLINK("https://youtu.be/7lCaiRQjGjo","channel 2")</f>
        <v>channel 2</v>
      </c>
    </row>
    <row r="19">
      <c r="B19" s="72" t="s">
        <v>1066</v>
      </c>
      <c r="C19" s="73" t="s">
        <v>1832</v>
      </c>
      <c r="D19" s="74" t="s">
        <v>1711</v>
      </c>
      <c r="E19" s="103" t="str">
        <f>HYPERLINK("https://youtu.be/hE7ISdGLojA","channel 1")</f>
        <v>channel 1</v>
      </c>
    </row>
    <row r="20">
      <c r="B20" s="72" t="s">
        <v>1106</v>
      </c>
      <c r="C20" s="73" t="s">
        <v>1834</v>
      </c>
      <c r="D20" s="74" t="s">
        <v>48</v>
      </c>
      <c r="E20" s="103" t="str">
        <f>HYPERLINK("https://youtu.be/FX-N_wPVcOs","channel 2")</f>
        <v>channel 2</v>
      </c>
    </row>
    <row r="21">
      <c r="B21" s="72" t="s">
        <v>665</v>
      </c>
      <c r="C21" s="75" t="s">
        <v>1826</v>
      </c>
      <c r="D21" s="74" t="s">
        <v>1711</v>
      </c>
      <c r="E21" s="103" t="str">
        <f>HYPERLINK("https://youtu.be/J8LhDFHKvzk","channel 1")</f>
        <v>channel 1</v>
      </c>
    </row>
    <row r="22">
      <c r="B22" s="72" t="s">
        <v>1066</v>
      </c>
      <c r="C22" s="75" t="s">
        <v>1870</v>
      </c>
      <c r="D22" s="74" t="s">
        <v>48</v>
      </c>
      <c r="E22" s="103" t="str">
        <f>HYPERLINK("https://youtu.be/E5CVSDebtLc","channel 2")</f>
        <v>channel 2</v>
      </c>
    </row>
    <row r="23">
      <c r="B23" s="42" t="s">
        <v>64</v>
      </c>
      <c r="C23" s="3"/>
      <c r="D23" s="3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1884</v>
      </c>
      <c r="C25" s="73" t="s">
        <v>1833</v>
      </c>
      <c r="D25" s="120" t="s">
        <v>1885</v>
      </c>
      <c r="E25" s="32" t="str">
        <f>HYPERLINK("https://youtu.be/LamFiCwkTys","channel 1")</f>
        <v>channel 1</v>
      </c>
    </row>
    <row r="26">
      <c r="B26" s="72" t="s">
        <v>1761</v>
      </c>
      <c r="C26" s="73" t="s">
        <v>1835</v>
      </c>
      <c r="D26" s="120" t="s">
        <v>1886</v>
      </c>
      <c r="E26" s="84" t="str">
        <f>HYPERLINK("https://youtu.be/JNc1ilFLu-0","channel 2")</f>
        <v>channel 2</v>
      </c>
    </row>
    <row r="27">
      <c r="B27" s="72" t="s">
        <v>1887</v>
      </c>
      <c r="C27" s="73" t="s">
        <v>1854</v>
      </c>
      <c r="D27" s="120" t="s">
        <v>1884</v>
      </c>
      <c r="E27" s="84" t="str">
        <f>HYPERLINK("https://youtu.be/h7p11ENDMXk","channel 1")</f>
        <v>channel 1</v>
      </c>
    </row>
    <row r="28">
      <c r="B28" s="72" t="s">
        <v>1761</v>
      </c>
      <c r="C28" s="73" t="s">
        <v>1862</v>
      </c>
      <c r="D28" s="120" t="s">
        <v>1885</v>
      </c>
      <c r="E28" s="84" t="str">
        <f>HYPERLINK("https://youtu.be/dQK4g3rpby4","channel 2")</f>
        <v>channel 2</v>
      </c>
    </row>
    <row r="29">
      <c r="B29" s="72" t="s">
        <v>1887</v>
      </c>
      <c r="C29" s="73" t="s">
        <v>1827</v>
      </c>
      <c r="D29" s="120" t="s">
        <v>1886</v>
      </c>
      <c r="E29" s="84" t="str">
        <f>HYPERLINK("https://youtu.be/RhBNwFOIBgg","channel 1")</f>
        <v>channel 1</v>
      </c>
    </row>
    <row r="30">
      <c r="B30" s="72" t="s">
        <v>1761</v>
      </c>
      <c r="C30" s="73" t="s">
        <v>1830</v>
      </c>
      <c r="D30" s="120" t="s">
        <v>1884</v>
      </c>
      <c r="E30" s="84" t="str">
        <f>HYPERLINK("https://youtu.be/EEn2ay_9R_E","channel 2")</f>
        <v>channel 2</v>
      </c>
    </row>
    <row r="31">
      <c r="B31" s="72" t="s">
        <v>1887</v>
      </c>
      <c r="C31" s="73" t="s">
        <v>1824</v>
      </c>
      <c r="D31" s="120" t="s">
        <v>1885</v>
      </c>
      <c r="E31" s="84" t="str">
        <f>HYPERLINK("https://youtu.be/eofzIqb8QSY","channel 1")</f>
        <v>channel 1</v>
      </c>
    </row>
    <row r="32">
      <c r="B32" s="72" t="s">
        <v>1886</v>
      </c>
      <c r="C32" s="73" t="s">
        <v>1830</v>
      </c>
      <c r="D32" s="120" t="s">
        <v>1884</v>
      </c>
      <c r="E32" s="84" t="str">
        <f>HYPERLINK("https://youtu.be/S_lPhcyVYQo","channel 2")</f>
        <v>channel 2</v>
      </c>
    </row>
    <row r="33">
      <c r="B33" s="72" t="s">
        <v>1887</v>
      </c>
      <c r="C33" s="73" t="s">
        <v>1870</v>
      </c>
      <c r="D33" s="120" t="s">
        <v>1761</v>
      </c>
      <c r="E33" s="84" t="str">
        <f>HYPERLINK("https://youtu.be/XayvnW-SVh","channel 1")</f>
        <v>channel 1</v>
      </c>
    </row>
    <row r="34">
      <c r="B34" s="72" t="s">
        <v>1886</v>
      </c>
      <c r="C34" s="73" t="s">
        <v>1890</v>
      </c>
      <c r="D34" s="120" t="s">
        <v>1885</v>
      </c>
      <c r="E34" s="84" t="str">
        <f>HYPERLINK("https://youtu.be/fOfLSaTXM30","channel 2")</f>
        <v>channel 2</v>
      </c>
    </row>
    <row r="35">
      <c r="B35" s="72" t="s">
        <v>1885</v>
      </c>
      <c r="C35" s="73" t="s">
        <v>1854</v>
      </c>
      <c r="D35" s="120" t="s">
        <v>1884</v>
      </c>
      <c r="E35" s="84" t="str">
        <f>HYPERLINK("https://youtu.be/5vesVBvU9Wg","channel 1")</f>
        <v>channel 1</v>
      </c>
    </row>
    <row r="36">
      <c r="B36" s="72" t="s">
        <v>1886</v>
      </c>
      <c r="C36" s="73" t="s">
        <v>1892</v>
      </c>
      <c r="D36" s="120" t="s">
        <v>1761</v>
      </c>
      <c r="E36" s="84" t="str">
        <f>HYPERLINK("https://youtu.be/8h8-7zx8ynM","channel 2")</f>
        <v>channel 2</v>
      </c>
    </row>
    <row r="37">
      <c r="B37" s="72" t="s">
        <v>1884</v>
      </c>
      <c r="C37" s="75" t="s">
        <v>1834</v>
      </c>
      <c r="D37" s="120" t="s">
        <v>1887</v>
      </c>
      <c r="E37" s="84" t="str">
        <f>HYPERLINK("https://youtu.be/_rq1xPYfOA","channel 1")</f>
        <v>channel 1</v>
      </c>
    </row>
    <row r="38">
      <c r="B38" s="72" t="s">
        <v>1885</v>
      </c>
      <c r="C38" s="75" t="s">
        <v>1847</v>
      </c>
      <c r="D38" s="120" t="s">
        <v>1761</v>
      </c>
      <c r="E38" s="84" t="str">
        <f>HYPERLINK("https://youtu.be/Uq-6kST-XGU","channel 2")</f>
        <v>channel 2</v>
      </c>
    </row>
    <row r="39">
      <c r="B39" s="72" t="s">
        <v>1886</v>
      </c>
      <c r="C39" s="75" t="s">
        <v>1849</v>
      </c>
      <c r="D39" s="120" t="s">
        <v>1887</v>
      </c>
      <c r="E39" s="84" t="str">
        <f>HYPERLINK("https://youtu.be/Avn4wNDf9i0","channel 1")</f>
        <v>channel 1</v>
      </c>
    </row>
    <row r="40">
      <c r="B40" s="72" t="s">
        <v>1884</v>
      </c>
      <c r="C40" s="75" t="s">
        <v>1837</v>
      </c>
      <c r="D40" s="120" t="s">
        <v>1761</v>
      </c>
      <c r="E40" s="84" t="str">
        <f>HYPERLINK("https://youtu.be/sHkXwbzjy_A","channel 2")</f>
        <v>channel 2</v>
      </c>
    </row>
    <row r="41">
      <c r="B41" s="72" t="s">
        <v>1885</v>
      </c>
      <c r="C41" s="73" t="s">
        <v>1845</v>
      </c>
      <c r="D41" s="120" t="s">
        <v>1887</v>
      </c>
      <c r="E41" s="84" t="str">
        <f>HYPERLINK("https://youtu.be/y2nK6nzVwYQ","channel 1")</f>
        <v>channel 1</v>
      </c>
    </row>
    <row r="42">
      <c r="B42" s="72" t="s">
        <v>1884</v>
      </c>
      <c r="C42" s="73" t="s">
        <v>1827</v>
      </c>
      <c r="D42" s="120" t="s">
        <v>1886</v>
      </c>
      <c r="E42" s="84" t="str">
        <f>HYPERLINK("https://youtu.be/y19uRvuA8yk","channel 2")</f>
        <v>channel 2</v>
      </c>
    </row>
    <row r="43">
      <c r="B43" s="72" t="s">
        <v>1761</v>
      </c>
      <c r="C43" s="75" t="s">
        <v>1854</v>
      </c>
      <c r="D43" s="120" t="s">
        <v>1887</v>
      </c>
      <c r="E43" s="84" t="str">
        <f>HYPERLINK("https://youtu.be/sqmsMubwOWM","channel 1")</f>
        <v>channel 1</v>
      </c>
    </row>
    <row r="44">
      <c r="B44" s="72" t="s">
        <v>1885</v>
      </c>
      <c r="C44" s="75" t="s">
        <v>1827</v>
      </c>
      <c r="D44" s="120" t="s">
        <v>1886</v>
      </c>
      <c r="E44" s="84" t="str">
        <f>HYPERLINK("https://youtu.be/LcQCAKpBiJs","channel 2")</f>
        <v>channel 2</v>
      </c>
    </row>
    <row r="45">
      <c r="B45" s="42" t="s">
        <v>971</v>
      </c>
      <c r="C45" s="3"/>
      <c r="D45" s="3"/>
      <c r="E45" s="4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1381</v>
      </c>
      <c r="C47" s="70" t="s">
        <v>1837</v>
      </c>
      <c r="D47" s="71" t="s">
        <v>1429</v>
      </c>
      <c r="E47" s="32" t="str">
        <f>HYPERLINK("https://youtu.be/mD9zDKPE_nI","channel 1")</f>
        <v>channel 1</v>
      </c>
    </row>
    <row r="48">
      <c r="B48" s="72" t="s">
        <v>1897</v>
      </c>
      <c r="C48" s="73" t="s">
        <v>1898</v>
      </c>
      <c r="D48" s="74" t="s">
        <v>1899</v>
      </c>
      <c r="E48" s="84" t="str">
        <f>HYPERLINK("https://youtu.be/BIoMDcA65MU","channel 2")</f>
        <v>channel 2</v>
      </c>
    </row>
    <row r="49">
      <c r="B49" s="72" t="s">
        <v>1900</v>
      </c>
      <c r="C49" s="73" t="s">
        <v>1828</v>
      </c>
      <c r="D49" s="74" t="s">
        <v>1381</v>
      </c>
      <c r="E49" s="84" t="str">
        <f>HYPERLINK("https://youtu.be/3-cTYlSzntE","channel 1")</f>
        <v>channel 1</v>
      </c>
    </row>
    <row r="50">
      <c r="B50" s="72" t="s">
        <v>1897</v>
      </c>
      <c r="C50" s="73" t="s">
        <v>1852</v>
      </c>
      <c r="D50" s="74" t="s">
        <v>1429</v>
      </c>
      <c r="E50" s="84" t="str">
        <f>HYPERLINK("https://youtu.be/4_ONVPBwjyU","channel 2")</f>
        <v>channel 2</v>
      </c>
    </row>
    <row r="51">
      <c r="B51" s="72" t="s">
        <v>1900</v>
      </c>
      <c r="C51" s="12" t="s">
        <v>1840</v>
      </c>
      <c r="D51" s="74" t="s">
        <v>1899</v>
      </c>
      <c r="E51" s="84" t="str">
        <f>HYPERLINK("https://youtu.be/EXUQQnulzEE","channel 1")</f>
        <v>channel 1</v>
      </c>
    </row>
    <row r="52">
      <c r="B52" s="72" t="s">
        <v>1897</v>
      </c>
      <c r="C52" s="38" t="s">
        <v>1824</v>
      </c>
      <c r="D52" s="74" t="s">
        <v>1381</v>
      </c>
      <c r="E52" s="84" t="str">
        <f>HYPERLINK("https://youtu.be/716qTJhaOSk","channel 2")</f>
        <v>channel 2</v>
      </c>
    </row>
    <row r="53">
      <c r="B53" s="72" t="s">
        <v>1900</v>
      </c>
      <c r="C53" s="12" t="s">
        <v>1847</v>
      </c>
      <c r="D53" s="74" t="s">
        <v>1429</v>
      </c>
      <c r="E53" s="84" t="str">
        <f>HYPERLINK("https://youtu.be/9XuFvm4CS8k","channel 1")</f>
        <v>channel 1</v>
      </c>
    </row>
    <row r="54">
      <c r="B54" s="72" t="s">
        <v>1899</v>
      </c>
      <c r="C54" s="73" t="s">
        <v>1829</v>
      </c>
      <c r="D54" s="74" t="s">
        <v>1381</v>
      </c>
      <c r="E54" s="84" t="str">
        <f>HYPERLINK("https://youtu.be/YMyqSIS9ee0","channel 2")</f>
        <v>channel 2</v>
      </c>
    </row>
    <row r="55">
      <c r="B55" s="72" t="s">
        <v>1900</v>
      </c>
      <c r="C55" s="73" t="s">
        <v>1862</v>
      </c>
      <c r="D55" s="74" t="s">
        <v>1897</v>
      </c>
      <c r="E55" s="84" t="str">
        <f>HYPERLINK("https://youtu.be/mESXO9qgjBs","channel 1")</f>
        <v>channel 1</v>
      </c>
    </row>
    <row r="56">
      <c r="B56" s="72" t="s">
        <v>1899</v>
      </c>
      <c r="C56" s="73" t="s">
        <v>1829</v>
      </c>
      <c r="D56" s="74" t="s">
        <v>1429</v>
      </c>
      <c r="E56" s="84" t="str">
        <f>HYPERLINK("https://youtu.be/8-zY3U7d33k","channel 2")</f>
        <v>channel 2</v>
      </c>
      <c r="F56" s="113"/>
    </row>
    <row r="57">
      <c r="B57" s="72" t="s">
        <v>1429</v>
      </c>
      <c r="C57" s="73" t="s">
        <v>1870</v>
      </c>
      <c r="D57" s="74" t="s">
        <v>1381</v>
      </c>
      <c r="E57" s="84" t="str">
        <f>HYPERLINK("https://youtu.be/rf7BHy3VORA","channel 1")</f>
        <v>channel 1</v>
      </c>
      <c r="G57" s="114"/>
    </row>
    <row r="58">
      <c r="B58" s="72" t="s">
        <v>1899</v>
      </c>
      <c r="C58" s="73" t="s">
        <v>1834</v>
      </c>
      <c r="D58" s="74" t="s">
        <v>1897</v>
      </c>
      <c r="E58" s="84" t="str">
        <f>HYPERLINK("https://youtu.be/esiw5l95NQk","channel 2")</f>
        <v>channel 2</v>
      </c>
    </row>
    <row r="59">
      <c r="B59" s="72" t="s">
        <v>1381</v>
      </c>
      <c r="C59" s="75" t="s">
        <v>1841</v>
      </c>
      <c r="D59" s="74" t="s">
        <v>1900</v>
      </c>
      <c r="E59" s="84" t="str">
        <f>HYPERLINK("https://youtu.be/MFC0oUiM6OE","channel 1")</f>
        <v>channel 1</v>
      </c>
    </row>
    <row r="60">
      <c r="B60" s="72" t="s">
        <v>1429</v>
      </c>
      <c r="C60" s="75" t="s">
        <v>1830</v>
      </c>
      <c r="D60" s="74" t="s">
        <v>1897</v>
      </c>
      <c r="E60" s="84" t="str">
        <f>HYPERLINK("https://youtu.be/Ew-paqGy5uE","channel 2")</f>
        <v>channel 2</v>
      </c>
    </row>
    <row r="61">
      <c r="B61" s="72" t="s">
        <v>1899</v>
      </c>
      <c r="C61" s="75" t="s">
        <v>1870</v>
      </c>
      <c r="D61" s="74" t="s">
        <v>1900</v>
      </c>
      <c r="E61" s="84" t="str">
        <f>HYPERLINK("https://youtu.be/qn3_ZDwAXJM","channel 1")</f>
        <v>channel 1</v>
      </c>
    </row>
    <row r="62">
      <c r="B62" s="72" t="s">
        <v>1381</v>
      </c>
      <c r="C62" s="75" t="s">
        <v>1877</v>
      </c>
      <c r="D62" s="74" t="s">
        <v>1897</v>
      </c>
      <c r="E62" s="84" t="str">
        <f>HYPERLINK("https://youtu.be/pFKxqWYzkFM","channel 2")</f>
        <v>channel 2</v>
      </c>
    </row>
    <row r="63">
      <c r="B63" s="72" t="s">
        <v>1429</v>
      </c>
      <c r="C63" s="73" t="s">
        <v>1904</v>
      </c>
      <c r="D63" s="74" t="s">
        <v>1900</v>
      </c>
      <c r="E63" s="84" t="str">
        <f>HYPERLINK("https://youtu.be/w-e3e-mzcnU","channel 1")</f>
        <v>channel 1</v>
      </c>
    </row>
    <row r="64">
      <c r="B64" s="72" t="s">
        <v>1381</v>
      </c>
      <c r="C64" s="73" t="s">
        <v>1829</v>
      </c>
      <c r="D64" s="74" t="s">
        <v>1899</v>
      </c>
      <c r="E64" s="84" t="str">
        <f>HYPERLINK("https://youtu.be/7h1gOU_1DPE","channel 2")</f>
        <v>channel 2</v>
      </c>
    </row>
    <row r="65">
      <c r="B65" s="72" t="s">
        <v>1897</v>
      </c>
      <c r="C65" s="75" t="s">
        <v>1870</v>
      </c>
      <c r="D65" s="74" t="s">
        <v>1900</v>
      </c>
      <c r="E65" s="84" t="str">
        <f>HYPERLINK("https://youtu.be/sIg7M8p8nt4","channel 1")</f>
        <v>channel 1</v>
      </c>
    </row>
    <row r="66">
      <c r="B66" s="72" t="s">
        <v>1429</v>
      </c>
      <c r="C66" s="75" t="s">
        <v>1831</v>
      </c>
      <c r="D66" s="74" t="s">
        <v>1899</v>
      </c>
      <c r="E66" s="84" t="str">
        <f>HYPERLINK("https://youtu.be/-BRb30L5W8w","channel 2")</f>
        <v>channel 2</v>
      </c>
    </row>
    <row r="67">
      <c r="B67" s="42" t="s">
        <v>1150</v>
      </c>
      <c r="C67" s="3"/>
      <c r="D67" s="3"/>
      <c r="E67" s="4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81</v>
      </c>
      <c r="C69" s="70" t="s">
        <v>1840</v>
      </c>
      <c r="D69" s="71" t="s">
        <v>666</v>
      </c>
      <c r="E69" s="32" t="str">
        <f>HYPERLINK("https://youtu.be/-WlfjmBaEOs","channel 1")</f>
        <v>channel 1</v>
      </c>
    </row>
    <row r="70">
      <c r="B70" s="72" t="s">
        <v>1084</v>
      </c>
      <c r="C70" s="73" t="s">
        <v>1849</v>
      </c>
      <c r="D70" s="74" t="s">
        <v>988</v>
      </c>
      <c r="E70" s="84" t="str">
        <f>HYPERLINK("https://youtu.be/Y5PdCQzpul8","channel 2")</f>
        <v>channel 2</v>
      </c>
    </row>
    <row r="71">
      <c r="B71" s="72" t="s">
        <v>474</v>
      </c>
      <c r="C71" s="73" t="s">
        <v>1892</v>
      </c>
      <c r="D71" s="74" t="s">
        <v>81</v>
      </c>
      <c r="E71" s="84" t="str">
        <f>HYPERLINK("https://youtu.be/rRdI_vANzZY","channel 1")</f>
        <v>channel 1</v>
      </c>
    </row>
    <row r="72">
      <c r="B72" s="72" t="s">
        <v>1084</v>
      </c>
      <c r="C72" s="73" t="s">
        <v>1830</v>
      </c>
      <c r="D72" s="74" t="s">
        <v>666</v>
      </c>
      <c r="E72" s="84" t="str">
        <f>HYPERLINK("https://youtu.be/G4BtJK54FqA","channel 2")</f>
        <v>channel 2</v>
      </c>
    </row>
    <row r="73">
      <c r="B73" s="72" t="s">
        <v>474</v>
      </c>
      <c r="C73" s="73" t="s">
        <v>1835</v>
      </c>
      <c r="D73" s="74" t="s">
        <v>988</v>
      </c>
      <c r="E73" s="84" t="str">
        <f>HYPERLINK("https://youtu.be/0XwQIw6j42M","channel 1")</f>
        <v>channel 1</v>
      </c>
    </row>
    <row r="74">
      <c r="B74" s="72" t="s">
        <v>1084</v>
      </c>
      <c r="C74" s="73" t="s">
        <v>1826</v>
      </c>
      <c r="D74" s="74" t="s">
        <v>81</v>
      </c>
      <c r="E74" s="84" t="str">
        <f>HYPERLINK("https://youtu.be/R346xAgpeE8","channel 2")</f>
        <v>channel 2</v>
      </c>
    </row>
    <row r="75">
      <c r="B75" s="72" t="s">
        <v>474</v>
      </c>
      <c r="C75" s="73" t="s">
        <v>1906</v>
      </c>
      <c r="D75" s="74" t="s">
        <v>666</v>
      </c>
      <c r="E75" s="84" t="str">
        <f>HYPERLINK("https://youtu.be/TWsLAKbdFSo","channel 1")</f>
        <v>channel 1</v>
      </c>
    </row>
    <row r="76">
      <c r="B76" s="72" t="s">
        <v>988</v>
      </c>
      <c r="C76" s="73" t="s">
        <v>1870</v>
      </c>
      <c r="D76" s="74" t="s">
        <v>81</v>
      </c>
      <c r="E76" s="84" t="str">
        <f>HYPERLINK("https://youtu.be/3J_97TT77fU","channel 2")</f>
        <v>channel 2</v>
      </c>
    </row>
    <row r="77">
      <c r="B77" s="72" t="s">
        <v>474</v>
      </c>
      <c r="C77" s="73" t="s">
        <v>1824</v>
      </c>
      <c r="D77" s="74" t="s">
        <v>1084</v>
      </c>
      <c r="E77" s="84" t="str">
        <f>HYPERLINK("https://youtu.be/UENkbH1LCoI","channel 1")</f>
        <v>channel 1</v>
      </c>
    </row>
    <row r="78">
      <c r="B78" s="72" t="s">
        <v>988</v>
      </c>
      <c r="C78" s="73" t="s">
        <v>1826</v>
      </c>
      <c r="D78" s="74" t="s">
        <v>666</v>
      </c>
      <c r="E78" s="84" t="str">
        <f>HYPERLINK("https://youtu.be/Gjwc3wVpHvw","channel 2")</f>
        <v>channel 2</v>
      </c>
    </row>
    <row r="79">
      <c r="B79" s="72" t="s">
        <v>666</v>
      </c>
      <c r="C79" s="73" t="s">
        <v>1830</v>
      </c>
      <c r="D79" s="74" t="s">
        <v>81</v>
      </c>
      <c r="E79" s="84" t="str">
        <f>HYPERLINK("https://youtu.be/ZuaCNYBfD-E","channel 1")</f>
        <v>channel 1</v>
      </c>
    </row>
    <row r="80">
      <c r="B80" s="72" t="s">
        <v>988</v>
      </c>
      <c r="C80" s="73" t="s">
        <v>1834</v>
      </c>
      <c r="D80" s="74" t="s">
        <v>1084</v>
      </c>
      <c r="E80" s="84" t="str">
        <f>HYPERLINK("https://youtu.be/UbplhzB-ak8","channel 2")</f>
        <v>channel 2</v>
      </c>
    </row>
    <row r="81">
      <c r="B81" s="72" t="s">
        <v>81</v>
      </c>
      <c r="C81" s="75" t="s">
        <v>1907</v>
      </c>
      <c r="D81" s="74" t="s">
        <v>474</v>
      </c>
      <c r="E81" s="84" t="str">
        <f>HYPERLINK("https://youtu.be/d9r5jDPx4pI","channel 1")</f>
        <v>channel 1</v>
      </c>
    </row>
    <row r="82">
      <c r="B82" s="72" t="s">
        <v>666</v>
      </c>
      <c r="C82" s="75" t="s">
        <v>1827</v>
      </c>
      <c r="D82" s="74" t="s">
        <v>1084</v>
      </c>
      <c r="E82" s="84" t="str">
        <f>HYPERLINK("https://youtu.be/zWSoArH-rLU","channel 2")</f>
        <v>channel 2</v>
      </c>
    </row>
    <row r="83">
      <c r="B83" s="72" t="s">
        <v>988</v>
      </c>
      <c r="C83" s="75" t="s">
        <v>1849</v>
      </c>
      <c r="D83" s="74" t="s">
        <v>474</v>
      </c>
      <c r="E83" s="84" t="str">
        <f>HYPERLINK("https://youtu.be/dNWn1e5fDzU","channel 1")</f>
        <v>channel 1</v>
      </c>
    </row>
    <row r="84">
      <c r="B84" s="72" t="s">
        <v>81</v>
      </c>
      <c r="C84" s="75" t="s">
        <v>1860</v>
      </c>
      <c r="D84" s="74" t="s">
        <v>1084</v>
      </c>
      <c r="E84" s="84" t="str">
        <f>HYPERLINK("https://youtu.be/lUk2t_H7vTI","channel 2")</f>
        <v>channel 2</v>
      </c>
    </row>
    <row r="85">
      <c r="B85" s="72" t="s">
        <v>666</v>
      </c>
      <c r="C85" s="73" t="s">
        <v>1827</v>
      </c>
      <c r="D85" s="74" t="s">
        <v>474</v>
      </c>
      <c r="E85" s="84" t="str">
        <f>HYPERLINK("https://youtu.be/EbTr9Ezyx2g","channel 1")</f>
        <v>channel 1</v>
      </c>
    </row>
    <row r="86">
      <c r="B86" s="72" t="s">
        <v>81</v>
      </c>
      <c r="C86" s="73" t="s">
        <v>1828</v>
      </c>
      <c r="D86" s="74" t="s">
        <v>988</v>
      </c>
      <c r="E86" s="84" t="str">
        <f>HYPERLINK("https://youtu.be/DBu9WLmTLaE","channel 2")</f>
        <v>channel 2</v>
      </c>
    </row>
    <row r="87">
      <c r="B87" s="72" t="s">
        <v>1084</v>
      </c>
      <c r="C87" s="75" t="s">
        <v>1902</v>
      </c>
      <c r="D87" s="74" t="s">
        <v>474</v>
      </c>
      <c r="E87" s="84" t="str">
        <f>HYPERLINK("https://youtu.be/T34ftJrhkrE","channel 1")</f>
        <v>channel 1</v>
      </c>
    </row>
    <row r="88">
      <c r="B88" s="72" t="s">
        <v>666</v>
      </c>
      <c r="C88" s="75" t="s">
        <v>1832</v>
      </c>
      <c r="D88" s="74" t="s">
        <v>988</v>
      </c>
      <c r="E88" s="84" t="str">
        <f>HYPERLINK("https://youtu.be/0mGNEV_-1PI","channel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1893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690</v>
      </c>
      <c r="C3" s="70" t="s">
        <v>1833</v>
      </c>
      <c r="D3" s="71" t="s">
        <v>100</v>
      </c>
      <c r="E3" s="103" t="str">
        <f>HYPERLINK("https://youtu.be/0Q_hv2qUjcc","channel 1")</f>
        <v>channel 1</v>
      </c>
    </row>
    <row r="4">
      <c r="B4" s="72" t="s">
        <v>1894</v>
      </c>
      <c r="C4" s="73" t="s">
        <v>1827</v>
      </c>
      <c r="D4" s="74" t="s">
        <v>885</v>
      </c>
      <c r="E4" s="103" t="str">
        <f>HYPERLINK("https://youtu.be/cZNxsZg44eU","channel 2")</f>
        <v>channel 2</v>
      </c>
    </row>
    <row r="5">
      <c r="B5" s="72" t="s">
        <v>1895</v>
      </c>
      <c r="C5" s="73" t="s">
        <v>1832</v>
      </c>
      <c r="D5" s="74" t="s">
        <v>690</v>
      </c>
      <c r="E5" s="103" t="str">
        <f>HYPERLINK("https://youtu.be/RPAJCNZ2el4","channel 1")</f>
        <v>channel 1</v>
      </c>
    </row>
    <row r="6">
      <c r="B6" s="72" t="s">
        <v>1894</v>
      </c>
      <c r="C6" s="73" t="s">
        <v>1837</v>
      </c>
      <c r="D6" s="74" t="s">
        <v>100</v>
      </c>
      <c r="E6" s="103" t="str">
        <f>HYPERLINK("https://youtu.be/2puHIdtfX3k","channel 2")</f>
        <v>channel 2</v>
      </c>
    </row>
    <row r="7">
      <c r="B7" s="72" t="s">
        <v>1895</v>
      </c>
      <c r="C7" s="73" t="s">
        <v>1883</v>
      </c>
      <c r="D7" s="74" t="s">
        <v>885</v>
      </c>
      <c r="E7" s="103" t="str">
        <f>HYPERLINK("https://youtu.be/ZH_PDCUzaaI","channel 1")</f>
        <v>channel 1</v>
      </c>
    </row>
    <row r="8">
      <c r="B8" s="72" t="s">
        <v>1894</v>
      </c>
      <c r="C8" s="73" t="s">
        <v>1896</v>
      </c>
      <c r="D8" s="74" t="s">
        <v>690</v>
      </c>
      <c r="E8" s="103" t="str">
        <f>HYPERLINK("https://youtu.be/tzGnPSK94Pg","channel 2")</f>
        <v>channel 2</v>
      </c>
    </row>
    <row r="9">
      <c r="B9" s="72" t="s">
        <v>1895</v>
      </c>
      <c r="C9" s="73" t="s">
        <v>1845</v>
      </c>
      <c r="D9" s="74" t="s">
        <v>100</v>
      </c>
      <c r="E9" s="103" t="str">
        <f>HYPERLINK("https://youtu.be/8r8MDKF03OM","channel 1")</f>
        <v>channel 1</v>
      </c>
    </row>
    <row r="10">
      <c r="B10" s="72" t="s">
        <v>885</v>
      </c>
      <c r="C10" s="73" t="s">
        <v>1826</v>
      </c>
      <c r="D10" s="74" t="s">
        <v>690</v>
      </c>
      <c r="E10" s="103" t="str">
        <f>HYPERLINK("https://youtu.be/a1XX-J4f5iM","channel 2")</f>
        <v>channel 2</v>
      </c>
    </row>
    <row r="11">
      <c r="B11" s="72" t="s">
        <v>1895</v>
      </c>
      <c r="C11" s="73" t="s">
        <v>1827</v>
      </c>
      <c r="D11" s="74" t="s">
        <v>1894</v>
      </c>
      <c r="E11" s="103" t="str">
        <f>HYPERLINK("https://youtu.be/EMdLz50eyV8","channel 1")</f>
        <v>channel 1</v>
      </c>
    </row>
    <row r="12">
      <c r="B12" s="72" t="s">
        <v>885</v>
      </c>
      <c r="C12" s="73" t="s">
        <v>1901</v>
      </c>
      <c r="D12" s="74" t="s">
        <v>100</v>
      </c>
      <c r="E12" s="103" t="str">
        <f>HYPERLINK("https://youtu.be/lS5TQw-j5fI","channel 2")</f>
        <v>channel 2</v>
      </c>
    </row>
    <row r="13">
      <c r="B13" s="72" t="s">
        <v>100</v>
      </c>
      <c r="C13" s="73" t="s">
        <v>1826</v>
      </c>
      <c r="D13" s="74" t="s">
        <v>690</v>
      </c>
      <c r="E13" s="103" t="str">
        <f>HYPERLINK("https://youtu.be/FLWOPBlIrOo","channel 1")</f>
        <v>channel 1</v>
      </c>
    </row>
    <row r="14">
      <c r="B14" s="72" t="s">
        <v>885</v>
      </c>
      <c r="C14" s="73" t="s">
        <v>1834</v>
      </c>
      <c r="D14" s="74" t="s">
        <v>1894</v>
      </c>
      <c r="E14" s="103" t="str">
        <f>HYPERLINK("https://youtu.be/TIb2D2y4G10","channel 2")</f>
        <v>channel 2</v>
      </c>
    </row>
    <row r="15">
      <c r="B15" s="72" t="s">
        <v>690</v>
      </c>
      <c r="C15" s="75" t="s">
        <v>1840</v>
      </c>
      <c r="D15" s="74" t="s">
        <v>1895</v>
      </c>
      <c r="E15" s="103" t="str">
        <f>HYPERLINK("https://youtu.be/8yT6V2wbTOc","channel 1")</f>
        <v>channel 1</v>
      </c>
      <c r="G15" s="47"/>
      <c r="H15" s="56"/>
      <c r="I15" s="47"/>
    </row>
    <row r="16">
      <c r="B16" s="72" t="s">
        <v>100</v>
      </c>
      <c r="C16" s="75" t="s">
        <v>1840</v>
      </c>
      <c r="D16" s="74" t="s">
        <v>1894</v>
      </c>
      <c r="E16" s="103" t="str">
        <f>HYPERLINK("https://youtu.be/lRMbjTQhHeU","channel 2")</f>
        <v>channel 2</v>
      </c>
      <c r="G16" s="47"/>
      <c r="H16" s="56"/>
      <c r="I16" s="47"/>
    </row>
    <row r="17">
      <c r="B17" s="72" t="s">
        <v>885</v>
      </c>
      <c r="C17" s="75" t="s">
        <v>1828</v>
      </c>
      <c r="D17" s="74" t="s">
        <v>1895</v>
      </c>
      <c r="E17" s="103" t="str">
        <f>HYPERLINK("https://youtu.be/06DPCZOVPbM","channel 1")</f>
        <v>channel 1</v>
      </c>
    </row>
    <row r="18">
      <c r="B18" s="72" t="s">
        <v>690</v>
      </c>
      <c r="C18" s="75" t="s">
        <v>1832</v>
      </c>
      <c r="D18" s="74" t="s">
        <v>1894</v>
      </c>
      <c r="E18" s="103" t="str">
        <f>HYPERLINK("https://youtu.be/ftkXXiF8L7Q","channel 2")</f>
        <v>channel 2</v>
      </c>
    </row>
    <row r="19">
      <c r="B19" s="72" t="s">
        <v>100</v>
      </c>
      <c r="C19" s="75" t="s">
        <v>1845</v>
      </c>
      <c r="D19" s="74" t="s">
        <v>1895</v>
      </c>
      <c r="E19" s="103" t="str">
        <f>HYPERLINK("https://youtu.be/LGly_8rk0wU","channel 1")</f>
        <v>channel 1</v>
      </c>
    </row>
    <row r="20">
      <c r="B20" s="72" t="s">
        <v>690</v>
      </c>
      <c r="C20" s="75" t="s">
        <v>1845</v>
      </c>
      <c r="D20" s="74" t="s">
        <v>885</v>
      </c>
      <c r="E20" s="103" t="str">
        <f>HYPERLINK("https://youtu.be/KIOJFB3F_3s","channel 2")</f>
        <v>channel 2</v>
      </c>
    </row>
    <row r="21">
      <c r="B21" s="72" t="s">
        <v>1894</v>
      </c>
      <c r="C21" s="75" t="s">
        <v>1834</v>
      </c>
      <c r="D21" s="74" t="s">
        <v>1895</v>
      </c>
      <c r="E21" s="103" t="str">
        <f>HYPERLINK("https://youtu.be/bqMQox1iUn8","channel 1")</f>
        <v>channel 1</v>
      </c>
    </row>
    <row r="22">
      <c r="B22" s="72" t="s">
        <v>100</v>
      </c>
      <c r="C22" s="75" t="s">
        <v>1902</v>
      </c>
      <c r="D22" s="74" t="s">
        <v>885</v>
      </c>
      <c r="E22" s="103" t="str">
        <f>HYPERLINK("https://youtu.be/LT7W3FmVGRE","channel 2")</f>
        <v>channel 2</v>
      </c>
    </row>
    <row r="23">
      <c r="B23" s="2" t="s">
        <v>1903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798</v>
      </c>
      <c r="C25" s="70" t="s">
        <v>1834</v>
      </c>
      <c r="D25" s="71" t="s">
        <v>702</v>
      </c>
      <c r="E25" s="103" t="str">
        <f>HYPERLINK("https://youtu.be/jqNjp0UlKOQ","channel 1")</f>
        <v>channel 1</v>
      </c>
    </row>
    <row r="26">
      <c r="B26" s="72" t="s">
        <v>1197</v>
      </c>
      <c r="C26" s="73" t="s">
        <v>1835</v>
      </c>
      <c r="D26" s="74" t="s">
        <v>1210</v>
      </c>
      <c r="E26" s="103" t="str">
        <f>HYPERLINK("https://youtu.be/PkngDrtLuyw","channel 2")</f>
        <v>channel 2</v>
      </c>
    </row>
    <row r="27">
      <c r="B27" s="72" t="s">
        <v>1905</v>
      </c>
      <c r="C27" s="73" t="s">
        <v>1861</v>
      </c>
      <c r="D27" s="74" t="s">
        <v>798</v>
      </c>
      <c r="E27" s="103" t="str">
        <f>HYPERLINK("https://youtu.be/9QHk9K7V0Bs","channel 1")</f>
        <v>channel 1</v>
      </c>
    </row>
    <row r="28">
      <c r="B28" s="72" t="s">
        <v>1197</v>
      </c>
      <c r="C28" s="73" t="s">
        <v>1851</v>
      </c>
      <c r="D28" s="74" t="s">
        <v>702</v>
      </c>
      <c r="E28" s="103" t="str">
        <f>HYPERLINK("https://youtu.be/fTp7Q2rUBuA","channel 2")</f>
        <v>channel 2</v>
      </c>
    </row>
    <row r="29">
      <c r="B29" s="72" t="s">
        <v>1905</v>
      </c>
      <c r="C29" s="73" t="s">
        <v>1847</v>
      </c>
      <c r="D29" s="74" t="s">
        <v>1210</v>
      </c>
      <c r="E29" s="103" t="str">
        <f>HYPERLINK("https://youtu.be/U10Ah00_yBE","channel 1")</f>
        <v>channel 1</v>
      </c>
    </row>
    <row r="30">
      <c r="B30" s="72" t="s">
        <v>1197</v>
      </c>
      <c r="C30" s="73" t="s">
        <v>1827</v>
      </c>
      <c r="D30" s="74" t="s">
        <v>798</v>
      </c>
      <c r="E30" s="103" t="str">
        <f>HYPERLINK("https://youtu.be/rA05T4Y9k5A","channel 2")</f>
        <v>channel 2</v>
      </c>
    </row>
    <row r="31">
      <c r="B31" s="72" t="s">
        <v>1905</v>
      </c>
      <c r="C31" s="73" t="s">
        <v>1877</v>
      </c>
      <c r="D31" s="74" t="s">
        <v>702</v>
      </c>
      <c r="E31" s="103" t="str">
        <f>HYPERLINK("https://youtu.be/0tg2Gu6zX9g","channel 1")</f>
        <v>channel 1</v>
      </c>
    </row>
    <row r="32">
      <c r="B32" s="72" t="s">
        <v>1210</v>
      </c>
      <c r="C32" s="73" t="s">
        <v>1837</v>
      </c>
      <c r="D32" s="74" t="s">
        <v>798</v>
      </c>
      <c r="E32" s="103" t="str">
        <f>HYPERLINK("https://youtu.be/gmVN3Sj7T5E","channel 2")</f>
        <v>channel 2</v>
      </c>
    </row>
    <row r="33">
      <c r="B33" s="72" t="s">
        <v>1905</v>
      </c>
      <c r="C33" s="73" t="s">
        <v>1833</v>
      </c>
      <c r="D33" s="74" t="s">
        <v>1197</v>
      </c>
      <c r="E33" s="103" t="str">
        <f>HYPERLINK("https://youtu.be/XmBXTl7hdIU","channel 1")</f>
        <v>channel 1</v>
      </c>
    </row>
    <row r="34">
      <c r="B34" s="72" t="s">
        <v>1210</v>
      </c>
      <c r="C34" s="73" t="s">
        <v>1851</v>
      </c>
      <c r="D34" s="74" t="s">
        <v>702</v>
      </c>
      <c r="E34" s="103" t="str">
        <f>HYPERLINK("https://youtu.be/Tg4mwdulUG8","channel 2")</f>
        <v>channel 2</v>
      </c>
    </row>
    <row r="35">
      <c r="B35" s="72" t="s">
        <v>702</v>
      </c>
      <c r="C35" s="73" t="s">
        <v>1830</v>
      </c>
      <c r="D35" s="74" t="s">
        <v>798</v>
      </c>
      <c r="E35" s="103" t="str">
        <f>HYPERLINK("https://youtu.be/4xT9jlhV8Yk","channel 1")</f>
        <v>channel 1</v>
      </c>
    </row>
    <row r="36">
      <c r="B36" s="72" t="s">
        <v>1210</v>
      </c>
      <c r="C36" s="73" t="s">
        <v>1841</v>
      </c>
      <c r="D36" s="74" t="s">
        <v>1197</v>
      </c>
      <c r="E36" s="103" t="str">
        <f>HYPERLINK("https://youtu.be/iW99A058Fgg","channel 2")</f>
        <v>channel 2</v>
      </c>
    </row>
    <row r="37">
      <c r="B37" s="72" t="s">
        <v>798</v>
      </c>
      <c r="C37" s="75" t="s">
        <v>1891</v>
      </c>
      <c r="D37" s="74" t="s">
        <v>1905</v>
      </c>
      <c r="E37" s="103" t="str">
        <f>HYPERLINK("https://youtu.be/qo_cpYcXmzE","channel 1")</f>
        <v>channel 1</v>
      </c>
    </row>
    <row r="38">
      <c r="B38" s="72" t="s">
        <v>702</v>
      </c>
      <c r="C38" s="75" t="s">
        <v>1854</v>
      </c>
      <c r="D38" s="74" t="s">
        <v>1197</v>
      </c>
      <c r="E38" s="103" t="str">
        <f>HYPERLINK("https://youtu.be/G1Lo-BiMKd4","channel 2")</f>
        <v>channel 2</v>
      </c>
    </row>
    <row r="39">
      <c r="B39" s="72" t="s">
        <v>1210</v>
      </c>
      <c r="C39" s="75" t="s">
        <v>1834</v>
      </c>
      <c r="D39" s="74" t="s">
        <v>1905</v>
      </c>
      <c r="E39" s="103" t="str">
        <f>HYPERLINK("https://youtu.be/aIck9iqCkGU","channel 1")</f>
        <v>channel 1</v>
      </c>
    </row>
    <row r="40">
      <c r="B40" s="72" t="s">
        <v>798</v>
      </c>
      <c r="C40" s="75" t="s">
        <v>1824</v>
      </c>
      <c r="D40" s="74" t="s">
        <v>1197</v>
      </c>
      <c r="E40" s="103" t="str">
        <f>HYPERLINK("https://youtu.be/a2ejZ5wYWhM","channel 2")</f>
        <v>channel 2</v>
      </c>
    </row>
    <row r="41">
      <c r="B41" s="72" t="s">
        <v>702</v>
      </c>
      <c r="C41" s="75" t="s">
        <v>1826</v>
      </c>
      <c r="D41" s="74" t="s">
        <v>1905</v>
      </c>
      <c r="E41" s="103" t="str">
        <f>HYPERLINK("https://youtu.be/2TvCUolcrGM","channel 1")</f>
        <v>channel 1</v>
      </c>
    </row>
    <row r="42">
      <c r="B42" s="72" t="s">
        <v>798</v>
      </c>
      <c r="C42" s="75" t="s">
        <v>1830</v>
      </c>
      <c r="D42" s="74" t="s">
        <v>1210</v>
      </c>
      <c r="E42" s="103" t="str">
        <f>HYPERLINK("https://youtu.be/zZbLtPdePh0","channel 2")</f>
        <v>channel 2</v>
      </c>
    </row>
    <row r="43">
      <c r="B43" s="72" t="s">
        <v>1197</v>
      </c>
      <c r="C43" s="75" t="s">
        <v>1849</v>
      </c>
      <c r="D43" s="74" t="s">
        <v>1905</v>
      </c>
      <c r="E43" s="103" t="str">
        <f>HYPERLINK("https://youtu.be/ePsaq0jj31c","channel 1")</f>
        <v>channel 1</v>
      </c>
    </row>
    <row r="44">
      <c r="B44" s="72" t="s">
        <v>702</v>
      </c>
      <c r="C44" s="75" t="s">
        <v>1847</v>
      </c>
      <c r="D44" s="74" t="s">
        <v>1210</v>
      </c>
      <c r="E44" s="103" t="str">
        <f>HYPERLINK("https://youtu.be/1MFayTlNWfk","channel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1908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1488</v>
      </c>
      <c r="C3" s="73" t="s">
        <v>1833</v>
      </c>
      <c r="D3" s="10" t="s">
        <v>1813</v>
      </c>
      <c r="E3" s="103" t="str">
        <f>HYPERLINK("https://youtu.be/NHB3VsQFNCo","channel 1")</f>
        <v>channel 1</v>
      </c>
    </row>
    <row r="4">
      <c r="B4" s="72" t="s">
        <v>1814</v>
      </c>
      <c r="C4" s="73" t="s">
        <v>1834</v>
      </c>
      <c r="D4" s="72" t="s">
        <v>1909</v>
      </c>
      <c r="E4" s="103" t="str">
        <f>HYPERLINK("https://youtu.be/LTsz8v8fSk0","channel 2")</f>
        <v>channel 2</v>
      </c>
    </row>
    <row r="5">
      <c r="B5" s="72" t="s">
        <v>1910</v>
      </c>
      <c r="C5" s="73" t="s">
        <v>1848</v>
      </c>
      <c r="D5" s="72" t="s">
        <v>1488</v>
      </c>
      <c r="E5" s="103" t="str">
        <f>HYPERLINK("https://youtu.be/idqtpGzpRYM","channel 1")</f>
        <v>channel 1</v>
      </c>
    </row>
    <row r="6">
      <c r="B6" s="72" t="s">
        <v>1814</v>
      </c>
      <c r="C6" s="73" t="s">
        <v>1834</v>
      </c>
      <c r="D6" s="72" t="s">
        <v>1813</v>
      </c>
      <c r="E6" s="103" t="str">
        <f>HYPERLINK("https://youtu.be/AS7i9G4u6iE","channel 2")</f>
        <v>channel 2</v>
      </c>
    </row>
    <row r="7">
      <c r="B7" s="72" t="s">
        <v>1910</v>
      </c>
      <c r="C7" s="73" t="s">
        <v>1849</v>
      </c>
      <c r="D7" s="72" t="s">
        <v>1909</v>
      </c>
      <c r="E7" s="103" t="str">
        <f>HYPERLINK("https://youtu.be/VuYsMWQPjzA","channel 1")</f>
        <v>channel 1</v>
      </c>
    </row>
    <row r="8">
      <c r="B8" s="72" t="s">
        <v>1814</v>
      </c>
      <c r="C8" s="73" t="s">
        <v>1833</v>
      </c>
      <c r="D8" s="72" t="s">
        <v>1488</v>
      </c>
      <c r="E8" s="103" t="str">
        <f>HYPERLINK("https://youtu.be/n8cnSr1GXD0","channel 2")</f>
        <v>channel 2</v>
      </c>
    </row>
    <row r="9">
      <c r="B9" s="72" t="s">
        <v>1910</v>
      </c>
      <c r="C9" s="73" t="s">
        <v>1851</v>
      </c>
      <c r="D9" s="72" t="s">
        <v>1813</v>
      </c>
      <c r="E9" s="103" t="str">
        <f>HYPERLINK("https://youtu.be/OqIsOZrWXdE","channel 1")</f>
        <v>channel 1</v>
      </c>
    </row>
    <row r="10">
      <c r="B10" s="72" t="s">
        <v>1909</v>
      </c>
      <c r="C10" s="73" t="s">
        <v>1827</v>
      </c>
      <c r="D10" s="72" t="s">
        <v>1488</v>
      </c>
      <c r="E10" s="103" t="str">
        <f>HYPERLINK("https://youtu.be/CtMNRMyXJ84","channel 2")</f>
        <v>channel 2</v>
      </c>
    </row>
    <row r="11">
      <c r="B11" s="72" t="s">
        <v>1910</v>
      </c>
      <c r="C11" s="73" t="s">
        <v>1837</v>
      </c>
      <c r="D11" s="72" t="s">
        <v>1814</v>
      </c>
      <c r="E11" s="103" t="str">
        <f>HYPERLINK("https://youtu.be/x3J3_77NFSs","channel 1")</f>
        <v>channel 1</v>
      </c>
    </row>
    <row r="12">
      <c r="B12" s="72" t="s">
        <v>1909</v>
      </c>
      <c r="C12" s="73" t="s">
        <v>1849</v>
      </c>
      <c r="D12" s="72" t="s">
        <v>1813</v>
      </c>
      <c r="E12" s="103" t="str">
        <f>HYPERLINK("https://youtu.be/CtMNRMyXJ84","channel 2")</f>
        <v>channel 2</v>
      </c>
    </row>
    <row r="13">
      <c r="B13" s="72" t="s">
        <v>1813</v>
      </c>
      <c r="C13" s="73" t="s">
        <v>1829</v>
      </c>
      <c r="D13" s="72" t="s">
        <v>1488</v>
      </c>
      <c r="E13" s="103" t="str">
        <f>HYPERLINK("https://youtu.be/iA05ZHTTs_g","channel 1")</f>
        <v>channel 1</v>
      </c>
    </row>
    <row r="14">
      <c r="B14" s="72" t="s">
        <v>1909</v>
      </c>
      <c r="C14" s="73" t="s">
        <v>1827</v>
      </c>
      <c r="D14" s="72" t="s">
        <v>1814</v>
      </c>
      <c r="E14" s="103" t="str">
        <f>HYPERLINK("https://youtu.be/CtMNRMyXJ84","channel 2")</f>
        <v>channel 2</v>
      </c>
    </row>
    <row r="15">
      <c r="B15" s="72" t="s">
        <v>1488</v>
      </c>
      <c r="C15" s="75" t="s">
        <v>1835</v>
      </c>
      <c r="D15" s="72" t="s">
        <v>1910</v>
      </c>
      <c r="E15" s="103" t="str">
        <f>HYPERLINK("https://youtu.be/A7iZKHnv570","channel 1")</f>
        <v>channel 1</v>
      </c>
    </row>
    <row r="16">
      <c r="B16" s="72" t="s">
        <v>1813</v>
      </c>
      <c r="C16" s="75" t="s">
        <v>1851</v>
      </c>
      <c r="D16" s="72" t="s">
        <v>1814</v>
      </c>
      <c r="E16" s="103" t="str">
        <f>HYPERLINK("https://youtu.be/PgrN7FDLejM","channel 2")</f>
        <v>channel 2</v>
      </c>
    </row>
    <row r="17">
      <c r="B17" s="72" t="s">
        <v>1909</v>
      </c>
      <c r="C17" s="75" t="s">
        <v>1845</v>
      </c>
      <c r="D17" s="72" t="s">
        <v>1910</v>
      </c>
      <c r="E17" s="103" t="str">
        <f>HYPERLINK("https://youtu.be/cN7FULgoIqU","channel 1")</f>
        <v>channel 1</v>
      </c>
    </row>
    <row r="18">
      <c r="B18" s="72" t="s">
        <v>1488</v>
      </c>
      <c r="C18" s="75" t="s">
        <v>1830</v>
      </c>
      <c r="D18" s="72" t="s">
        <v>1814</v>
      </c>
      <c r="E18" s="103" t="str">
        <f>HYPERLINK("https://youtu.be/zfqIhTUnnW0","channel 2")</f>
        <v>channel 2</v>
      </c>
    </row>
    <row r="19">
      <c r="B19" s="72" t="s">
        <v>1813</v>
      </c>
      <c r="C19" s="75" t="s">
        <v>1835</v>
      </c>
      <c r="D19" s="72" t="s">
        <v>1910</v>
      </c>
      <c r="E19" s="103" t="str">
        <f>HYPERLINK("https://youtu.be/hB79NQg4RXM","channel 1")</f>
        <v>channel 1</v>
      </c>
    </row>
    <row r="20">
      <c r="B20" s="72" t="s">
        <v>1488</v>
      </c>
      <c r="C20" s="75" t="s">
        <v>1840</v>
      </c>
      <c r="D20" s="72" t="s">
        <v>1909</v>
      </c>
      <c r="E20" s="103" t="str">
        <f>HYPERLINK("https://youtu.be/jBEI0sKwYug","channel 2")</f>
        <v>channel 2</v>
      </c>
    </row>
    <row r="21">
      <c r="B21" s="72" t="s">
        <v>1814</v>
      </c>
      <c r="C21" s="75" t="s">
        <v>1827</v>
      </c>
      <c r="D21" s="72" t="s">
        <v>1910</v>
      </c>
      <c r="E21" s="103" t="str">
        <f>HYPERLINK("https://youtu.be/D5v90znS2fU","channel 1")</f>
        <v>channel 1</v>
      </c>
    </row>
    <row r="22">
      <c r="B22" s="72" t="s">
        <v>1813</v>
      </c>
      <c r="C22" s="75" t="s">
        <v>1862</v>
      </c>
      <c r="D22" s="72" t="s">
        <v>1909</v>
      </c>
      <c r="E22" s="103" t="str">
        <f>HYPERLINK("https://youtu.be/KIsAbdxjNpE","channel 2")</f>
        <v>channel 2</v>
      </c>
    </row>
    <row r="23">
      <c r="B23" s="2" t="s">
        <v>1911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1912</v>
      </c>
      <c r="C25" s="70" t="s">
        <v>1824</v>
      </c>
      <c r="D25" s="10" t="s">
        <v>1024</v>
      </c>
      <c r="E25" s="103" t="str">
        <f>HYPERLINK("https://youtu.be/hLE8pAxM4dQ","channel 1")</f>
        <v>channel 1</v>
      </c>
    </row>
    <row r="26">
      <c r="B26" s="72" t="s">
        <v>1913</v>
      </c>
      <c r="C26" s="73" t="s">
        <v>1831</v>
      </c>
      <c r="D26" s="72" t="s">
        <v>1915</v>
      </c>
      <c r="E26" s="103" t="str">
        <f>HYPERLINK("https://youtu.be/BhIKgkbO9fo","channel 2")</f>
        <v>channel 2</v>
      </c>
    </row>
    <row r="27">
      <c r="B27" s="72" t="s">
        <v>1916</v>
      </c>
      <c r="C27" s="73" t="s">
        <v>1833</v>
      </c>
      <c r="D27" s="72" t="s">
        <v>1912</v>
      </c>
      <c r="E27" s="103" t="str">
        <f>HYPERLINK("https://youtu.be/fKM5zMqyF60","channel 1")</f>
        <v>channel 1</v>
      </c>
    </row>
    <row r="28">
      <c r="B28" s="72" t="s">
        <v>1913</v>
      </c>
      <c r="C28" s="73" t="s">
        <v>1854</v>
      </c>
      <c r="D28" s="72" t="s">
        <v>1024</v>
      </c>
      <c r="E28" s="103" t="str">
        <f>HYPERLINK("https://youtu.be/yg2sfzesuYs","channel 2")</f>
        <v>channel 2</v>
      </c>
    </row>
    <row r="29">
      <c r="B29" s="72" t="s">
        <v>1916</v>
      </c>
      <c r="C29" s="73" t="s">
        <v>1851</v>
      </c>
      <c r="D29" s="72" t="s">
        <v>1915</v>
      </c>
      <c r="E29" s="103" t="str">
        <f>HYPERLINK("https://youtu.be/Tbzv7TO-b4E","channel 1")</f>
        <v>channel 1</v>
      </c>
    </row>
    <row r="30">
      <c r="B30" s="72" t="s">
        <v>1913</v>
      </c>
      <c r="C30" s="73" t="s">
        <v>1837</v>
      </c>
      <c r="D30" s="72" t="s">
        <v>1912</v>
      </c>
      <c r="E30" s="103" t="str">
        <f>HYPERLINK("https://youtu.be/Isb5RF96Qv8","channel 2")</f>
        <v>channel 2</v>
      </c>
    </row>
    <row r="31">
      <c r="B31" s="72" t="s">
        <v>1916</v>
      </c>
      <c r="C31" s="73" t="s">
        <v>1870</v>
      </c>
      <c r="D31" s="72" t="s">
        <v>1024</v>
      </c>
      <c r="E31" s="103" t="str">
        <f>HYPERLINK("https://youtu.be/u5wf3-4dc5Q","channel 1")</f>
        <v>channel 1</v>
      </c>
    </row>
    <row r="32">
      <c r="B32" s="72" t="s">
        <v>1915</v>
      </c>
      <c r="C32" s="73" t="s">
        <v>1829</v>
      </c>
      <c r="D32" s="72" t="s">
        <v>1912</v>
      </c>
      <c r="E32" s="103" t="str">
        <f>HYPERLINK("https://youtu.be/Isb5RF96Qv8","channel 2")</f>
        <v>channel 2</v>
      </c>
    </row>
    <row r="33">
      <c r="B33" s="72" t="s">
        <v>1916</v>
      </c>
      <c r="C33" s="73" t="s">
        <v>1840</v>
      </c>
      <c r="D33" s="72" t="s">
        <v>1913</v>
      </c>
      <c r="E33" s="103" t="str">
        <f>HYPERLINK("https://youtu.be/oVwD6VtH9tk","channel 1")</f>
        <v>channel 1</v>
      </c>
    </row>
    <row r="34">
      <c r="B34" s="72" t="s">
        <v>1915</v>
      </c>
      <c r="C34" s="73" t="s">
        <v>1849</v>
      </c>
      <c r="D34" s="72" t="s">
        <v>1024</v>
      </c>
      <c r="E34" s="103" t="str">
        <f>HYPERLINK("https://youtu.be/Isb5RF96Qv8","channel 2")</f>
        <v>channel 2</v>
      </c>
    </row>
    <row r="35">
      <c r="B35" s="72" t="s">
        <v>1024</v>
      </c>
      <c r="C35" s="73" t="s">
        <v>1861</v>
      </c>
      <c r="D35" s="72" t="s">
        <v>1912</v>
      </c>
      <c r="E35" s="103" t="str">
        <f>HYPERLINK("https://youtu.be/ccPBtUGS1eU","channel 1")</f>
        <v>channel 1</v>
      </c>
    </row>
    <row r="36">
      <c r="B36" s="72" t="s">
        <v>1915</v>
      </c>
      <c r="C36" s="73" t="s">
        <v>1834</v>
      </c>
      <c r="D36" s="72" t="s">
        <v>1913</v>
      </c>
      <c r="E36" s="103" t="str">
        <f>HYPERLINK("https://youtu.be/Isb5RF96Qv8","channel 2")</f>
        <v>channel 2</v>
      </c>
    </row>
    <row r="37">
      <c r="B37" s="72" t="s">
        <v>1912</v>
      </c>
      <c r="C37" s="75" t="s">
        <v>1870</v>
      </c>
      <c r="D37" s="72" t="s">
        <v>1916</v>
      </c>
      <c r="E37" s="103" t="str">
        <f>HYPERLINK("https://youtu.be/8stBjuqgWdE","channel 1")</f>
        <v>channel 1</v>
      </c>
    </row>
    <row r="38">
      <c r="B38" s="72" t="s">
        <v>1024</v>
      </c>
      <c r="C38" s="75" t="s">
        <v>1840</v>
      </c>
      <c r="D38" s="72" t="s">
        <v>1913</v>
      </c>
      <c r="E38" s="103" t="str">
        <f>HYPERLINK("https://youtu.be/Isb5RF96Qv8","channel 2")</f>
        <v>channel 2</v>
      </c>
    </row>
    <row r="39">
      <c r="B39" s="72" t="s">
        <v>1915</v>
      </c>
      <c r="C39" s="75" t="s">
        <v>1861</v>
      </c>
      <c r="D39" s="72" t="s">
        <v>1916</v>
      </c>
      <c r="E39" s="103" t="str">
        <f>HYPERLINK("https://youtu.be/rJDESS75tbE","channel 1")</f>
        <v>channel 1</v>
      </c>
    </row>
    <row r="40">
      <c r="B40" s="72" t="s">
        <v>1912</v>
      </c>
      <c r="C40" s="75" t="s">
        <v>1830</v>
      </c>
      <c r="D40" s="72" t="s">
        <v>1913</v>
      </c>
      <c r="E40" s="103" t="str">
        <f>HYPERLINK("https://youtu.be/Isb5RF96Qv8","channel 2")</f>
        <v>channel 2</v>
      </c>
    </row>
    <row r="41">
      <c r="B41" s="72" t="s">
        <v>1024</v>
      </c>
      <c r="C41" s="75" t="s">
        <v>1834</v>
      </c>
      <c r="D41" s="72" t="s">
        <v>1916</v>
      </c>
      <c r="E41" s="103" t="str">
        <f>HYPERLINK("https://youtu.be/pJbmOoHldlE","channel 1")</f>
        <v>channel 1</v>
      </c>
    </row>
    <row r="42">
      <c r="B42" s="72" t="s">
        <v>1912</v>
      </c>
      <c r="C42" s="75" t="s">
        <v>1824</v>
      </c>
      <c r="D42" s="72" t="s">
        <v>1915</v>
      </c>
      <c r="E42" s="103" t="str">
        <f>HYPERLINK("https://youtu.be/yg2sfzesuYs","channel 2")</f>
        <v>channel 2</v>
      </c>
    </row>
    <row r="43">
      <c r="B43" s="72" t="s">
        <v>1913</v>
      </c>
      <c r="C43" s="75" t="s">
        <v>1834</v>
      </c>
      <c r="D43" s="72" t="s">
        <v>1916</v>
      </c>
      <c r="E43" s="103" t="str">
        <f>HYPERLINK("https://youtu.be/_tpeCPe031E","channel 1")</f>
        <v>channel 1</v>
      </c>
    </row>
    <row r="44">
      <c r="B44" s="72" t="s">
        <v>1024</v>
      </c>
      <c r="C44" s="75" t="s">
        <v>1833</v>
      </c>
      <c r="D44" s="72" t="s">
        <v>1915</v>
      </c>
      <c r="E44" s="103" t="str">
        <f>HYPERLINK("https://youtu.be/Isb5RF96Qv8","channel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1880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1210</v>
      </c>
      <c r="C3" s="73" t="s">
        <v>1868</v>
      </c>
      <c r="D3" s="74" t="s">
        <v>1914</v>
      </c>
      <c r="E3" s="103" t="str">
        <f>HYPERLINK("https://youtu.be/L8-OHO4clU0","channel 1")</f>
        <v>channel 1</v>
      </c>
    </row>
    <row r="4">
      <c r="B4" s="72" t="s">
        <v>641</v>
      </c>
      <c r="C4" s="73" t="s">
        <v>1849</v>
      </c>
      <c r="D4" s="74" t="s">
        <v>1737</v>
      </c>
      <c r="E4" s="103" t="str">
        <f>HYPERLINK("https://youtu.be/0cf4ixUWJkU","channel 2")</f>
        <v>channel 2</v>
      </c>
    </row>
    <row r="5">
      <c r="B5" s="72" t="s">
        <v>1773</v>
      </c>
      <c r="C5" s="73" t="s">
        <v>1826</v>
      </c>
      <c r="D5" s="74" t="s">
        <v>1210</v>
      </c>
      <c r="E5" s="103" t="str">
        <f>HYPERLINK("https://youtu.be/IkPGXpooBK4","channel 1")</f>
        <v>channel 1</v>
      </c>
    </row>
    <row r="6">
      <c r="B6" s="72" t="s">
        <v>641</v>
      </c>
      <c r="C6" s="73" t="s">
        <v>1826</v>
      </c>
      <c r="D6" s="74" t="s">
        <v>1914</v>
      </c>
      <c r="E6" s="103" t="str">
        <f>HYPERLINK("https://youtu.be/BTFG1ZZVvxs","channel 2")</f>
        <v>channel 2</v>
      </c>
    </row>
    <row r="7">
      <c r="B7" s="72" t="s">
        <v>1773</v>
      </c>
      <c r="C7" s="73" t="s">
        <v>1847</v>
      </c>
      <c r="D7" s="74" t="s">
        <v>1737</v>
      </c>
      <c r="E7" s="103" t="str">
        <f>HYPERLINK("https://youtu.be/2FjMkVcx4m4","channel 1")</f>
        <v>channel 1</v>
      </c>
    </row>
    <row r="8">
      <c r="B8" s="72" t="s">
        <v>641</v>
      </c>
      <c r="C8" s="73" t="s">
        <v>1882</v>
      </c>
      <c r="D8" s="74" t="s">
        <v>1210</v>
      </c>
      <c r="E8" s="103" t="str">
        <f>HYPERLINK("https://youtu.be/6Xue6WLAa7I","channel 2")</f>
        <v>channel 2</v>
      </c>
    </row>
    <row r="9">
      <c r="B9" s="72" t="s">
        <v>1773</v>
      </c>
      <c r="C9" s="73" t="s">
        <v>1833</v>
      </c>
      <c r="D9" s="74" t="s">
        <v>1914</v>
      </c>
      <c r="E9" s="103" t="str">
        <f>HYPERLINK("https://youtu.be/YVvqSp9HLUg","channel 1")</f>
        <v>channel 1</v>
      </c>
      <c r="G9" s="47"/>
      <c r="H9" s="119"/>
      <c r="I9" s="47"/>
    </row>
    <row r="10">
      <c r="B10" s="72" t="s">
        <v>1737</v>
      </c>
      <c r="C10" s="73" t="s">
        <v>1851</v>
      </c>
      <c r="D10" s="74" t="s">
        <v>1210</v>
      </c>
      <c r="E10" s="103" t="str">
        <f>HYPERLINK("https://youtu.be/i2JrW82lWss","channel 2")</f>
        <v>channel 2</v>
      </c>
      <c r="G10" s="47"/>
      <c r="H10" s="119"/>
      <c r="I10" s="47"/>
    </row>
    <row r="11">
      <c r="B11" s="72" t="s">
        <v>1773</v>
      </c>
      <c r="C11" s="73" t="s">
        <v>1917</v>
      </c>
      <c r="D11" s="74" t="s">
        <v>641</v>
      </c>
      <c r="E11" s="103" t="str">
        <f>HYPERLINK("https://youtu.be/vvirkrbrb5E","channel 1")</f>
        <v>channel 1</v>
      </c>
    </row>
    <row r="12">
      <c r="B12" s="72" t="s">
        <v>1737</v>
      </c>
      <c r="C12" s="73" t="s">
        <v>1824</v>
      </c>
      <c r="D12" s="74" t="s">
        <v>1914</v>
      </c>
      <c r="E12" s="103" t="str">
        <f>HYPERLINK("https://youtu.be/z7nN7I3GViU","channel 2")</f>
        <v>channel 2</v>
      </c>
    </row>
    <row r="13">
      <c r="B13" s="72" t="s">
        <v>1914</v>
      </c>
      <c r="C13" s="73" t="s">
        <v>1847</v>
      </c>
      <c r="D13" s="74" t="s">
        <v>1210</v>
      </c>
      <c r="E13" s="103" t="str">
        <f>HYPERLINK("https://youtu.be/ePXP47sVbYc","channel 1")</f>
        <v>channel 1</v>
      </c>
    </row>
    <row r="14">
      <c r="B14" s="72" t="s">
        <v>1737</v>
      </c>
      <c r="C14" s="73" t="s">
        <v>1918</v>
      </c>
      <c r="D14" s="74" t="s">
        <v>641</v>
      </c>
      <c r="E14" s="103" t="str">
        <f>HYPERLINK("https://youtu.be/f8qGtH_SHJA","channel 2")</f>
        <v>channel 2</v>
      </c>
    </row>
    <row r="15">
      <c r="B15" s="72" t="s">
        <v>1210</v>
      </c>
      <c r="C15" s="75" t="s">
        <v>1828</v>
      </c>
      <c r="D15" s="74" t="s">
        <v>1773</v>
      </c>
      <c r="E15" s="103" t="str">
        <f>HYPERLINK("https://youtu.be/d10SOCZqZuo","channel 1")</f>
        <v>channel 1</v>
      </c>
    </row>
    <row r="16">
      <c r="B16" s="72" t="s">
        <v>1914</v>
      </c>
      <c r="C16" s="75" t="s">
        <v>1845</v>
      </c>
      <c r="D16" s="74" t="s">
        <v>641</v>
      </c>
      <c r="E16" s="103" t="str">
        <f>HYPERLINK("https://youtu.be/sL99qXB8zxc","channel 2")</f>
        <v>channel 2</v>
      </c>
    </row>
    <row r="17">
      <c r="B17" s="72" t="s">
        <v>1737</v>
      </c>
      <c r="C17" s="75" t="s">
        <v>1870</v>
      </c>
      <c r="D17" s="74" t="s">
        <v>1773</v>
      </c>
      <c r="E17" s="103" t="str">
        <f>HYPERLINK("https://youtu.be/pOeiPu6ngj4","channel 1")</f>
        <v>channel 1</v>
      </c>
    </row>
    <row r="18">
      <c r="B18" s="72" t="s">
        <v>1210</v>
      </c>
      <c r="C18" s="75" t="s">
        <v>1920</v>
      </c>
      <c r="D18" s="74" t="s">
        <v>641</v>
      </c>
      <c r="E18" s="103" t="str">
        <f>HYPERLINK("https://youtu.be/tg-laWOAY7k","channel 2")</f>
        <v>channel 2</v>
      </c>
    </row>
    <row r="19">
      <c r="B19" s="72" t="s">
        <v>1914</v>
      </c>
      <c r="C19" s="73" t="s">
        <v>1828</v>
      </c>
      <c r="D19" s="74" t="s">
        <v>1773</v>
      </c>
      <c r="E19" s="103" t="str">
        <f>HYPERLINK("https://youtu.be/pOeiPu6ngj4","channel 1")</f>
        <v>channel 1</v>
      </c>
    </row>
    <row r="20">
      <c r="B20" s="72" t="s">
        <v>1210</v>
      </c>
      <c r="C20" s="73" t="s">
        <v>1834</v>
      </c>
      <c r="D20" s="74" t="s">
        <v>1737</v>
      </c>
      <c r="E20" s="103" t="str">
        <f>HYPERLINK("https://youtu.be/RMbhRTVMQEw","channel 2")</f>
        <v>channel 2</v>
      </c>
    </row>
    <row r="21">
      <c r="B21" s="72" t="s">
        <v>641</v>
      </c>
      <c r="C21" s="75" t="s">
        <v>1834</v>
      </c>
      <c r="D21" s="74" t="s">
        <v>1773</v>
      </c>
      <c r="E21" s="103" t="str">
        <f>HYPERLINK("https://youtu.be/mZFeFiQZYQM","channel 1")</f>
        <v>channel 1</v>
      </c>
    </row>
    <row r="22">
      <c r="B22" s="72" t="s">
        <v>1914</v>
      </c>
      <c r="C22" s="75" t="s">
        <v>1826</v>
      </c>
      <c r="D22" s="74" t="s">
        <v>1737</v>
      </c>
      <c r="E22" s="103" t="str">
        <f>HYPERLINK("https://youtu.be/8JXCND43b1U","channel 2")</f>
        <v>channel 2</v>
      </c>
    </row>
    <row r="23">
      <c r="B23" s="121" t="s">
        <v>1878</v>
      </c>
      <c r="C23" s="3"/>
      <c r="D23" s="3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1013</v>
      </c>
      <c r="C25" s="73" t="s">
        <v>1834</v>
      </c>
      <c r="D25" s="120" t="s">
        <v>1921</v>
      </c>
      <c r="E25" s="103" t="str">
        <f>HYPERLINK("https://youtu.be/_OQ6nSL-vRM","channel 1")</f>
        <v>channel 1</v>
      </c>
    </row>
    <row r="26">
      <c r="B26" s="72" t="s">
        <v>1160</v>
      </c>
      <c r="C26" s="73" t="s">
        <v>1862</v>
      </c>
      <c r="D26" s="120" t="s">
        <v>1163</v>
      </c>
      <c r="E26" s="103" t="str">
        <f>HYPERLINK("https://youtu.be/2atJGcOSdgs","channel 2")</f>
        <v>channel 2</v>
      </c>
    </row>
    <row r="27">
      <c r="B27" s="72" t="s">
        <v>1923</v>
      </c>
      <c r="C27" s="73" t="s">
        <v>1832</v>
      </c>
      <c r="D27" s="120" t="s">
        <v>1013</v>
      </c>
      <c r="E27" s="103" t="str">
        <f>HYPERLINK("https://youtu.be/m1L3x0JFIk8","channel 1")</f>
        <v>channel 1</v>
      </c>
    </row>
    <row r="28">
      <c r="B28" s="72" t="s">
        <v>1160</v>
      </c>
      <c r="C28" s="73" t="s">
        <v>1826</v>
      </c>
      <c r="D28" s="120" t="s">
        <v>1921</v>
      </c>
      <c r="E28" s="103" t="str">
        <f>HYPERLINK("https://youtu.be/VLnYCLSEndc","channel 2")</f>
        <v>channel 2</v>
      </c>
    </row>
    <row r="29">
      <c r="B29" s="72" t="s">
        <v>1923</v>
      </c>
      <c r="C29" s="73" t="s">
        <v>1834</v>
      </c>
      <c r="D29" s="120" t="s">
        <v>1163</v>
      </c>
      <c r="E29" s="103" t="str">
        <f>HYPERLINK("https://youtu.be/Jnmg5Y0JbKE","channel 1")</f>
        <v>channel 1</v>
      </c>
    </row>
    <row r="30">
      <c r="B30" s="72" t="s">
        <v>1160</v>
      </c>
      <c r="C30" s="73" t="s">
        <v>1862</v>
      </c>
      <c r="D30" s="120" t="s">
        <v>1013</v>
      </c>
      <c r="E30" s="103" t="str">
        <f>HYPERLINK("https://youtu.be/ep55GyeXdks","channel 2")</f>
        <v>channel 2</v>
      </c>
    </row>
    <row r="31">
      <c r="B31" s="72" t="s">
        <v>1923</v>
      </c>
      <c r="C31" s="73" t="s">
        <v>1917</v>
      </c>
      <c r="D31" s="120" t="s">
        <v>1921</v>
      </c>
      <c r="E31" s="103" t="str">
        <f>HYPERLINK("https://youtu.be/Jnmg5Y0JbKE","channel 1")</f>
        <v>channel 1</v>
      </c>
    </row>
    <row r="32">
      <c r="B32" s="72" t="s">
        <v>1163</v>
      </c>
      <c r="C32" s="73" t="s">
        <v>1848</v>
      </c>
      <c r="D32" s="120" t="s">
        <v>1013</v>
      </c>
      <c r="E32" s="103" t="str">
        <f>HYPERLINK("https://youtu.be/CEm7mvjVnf8","channel 2")</f>
        <v>channel 2</v>
      </c>
    </row>
    <row r="33">
      <c r="B33" s="72" t="s">
        <v>1923</v>
      </c>
      <c r="C33" s="73" t="s">
        <v>1849</v>
      </c>
      <c r="D33" s="120" t="s">
        <v>1160</v>
      </c>
      <c r="E33" s="103" t="str">
        <f>HYPERLINK("https://youtu.be/Jnmg5Y0JbKE","channel 1")</f>
        <v>channel 1</v>
      </c>
    </row>
    <row r="34">
      <c r="B34" s="72" t="s">
        <v>1163</v>
      </c>
      <c r="C34" s="73" t="s">
        <v>1831</v>
      </c>
      <c r="D34" s="120" t="s">
        <v>1921</v>
      </c>
      <c r="E34" s="103" t="str">
        <f>HYPERLINK("https://youtu.be/cMiP_TU9vZ4","channel 2")</f>
        <v>channel 2</v>
      </c>
    </row>
    <row r="35">
      <c r="B35" s="72" t="s">
        <v>1921</v>
      </c>
      <c r="C35" s="73" t="s">
        <v>1824</v>
      </c>
      <c r="D35" s="120" t="s">
        <v>1013</v>
      </c>
      <c r="E35" s="103" t="str">
        <f>HYPERLINK("https://youtu.be/FxLkbQXDkRc","channel 1")</f>
        <v>channel 1</v>
      </c>
    </row>
    <row r="36">
      <c r="B36" s="72" t="s">
        <v>1163</v>
      </c>
      <c r="C36" s="73" t="s">
        <v>1852</v>
      </c>
      <c r="D36" s="120" t="s">
        <v>1160</v>
      </c>
      <c r="E36" s="103" t="str">
        <f>HYPERLINK("https://youtu.be/WkyZkC5anvU","channel 2")</f>
        <v>channel 2</v>
      </c>
    </row>
    <row r="37">
      <c r="B37" s="72" t="s">
        <v>1013</v>
      </c>
      <c r="C37" s="75" t="s">
        <v>1854</v>
      </c>
      <c r="D37" s="120" t="s">
        <v>1923</v>
      </c>
      <c r="E37" s="103" t="str">
        <f>HYPERLINK("https://youtu.be/N9y5ehTuGoc","channel 1")</f>
        <v>channel 1</v>
      </c>
    </row>
    <row r="38">
      <c r="B38" s="72" t="s">
        <v>1921</v>
      </c>
      <c r="C38" s="75" t="s">
        <v>1840</v>
      </c>
      <c r="D38" s="120" t="s">
        <v>1160</v>
      </c>
      <c r="E38" s="103" t="str">
        <f>HYPERLINK("https://youtu.be/oVdE-X3O7Ws","channel 2")</f>
        <v>channel 2</v>
      </c>
    </row>
    <row r="39">
      <c r="B39" s="72" t="s">
        <v>1163</v>
      </c>
      <c r="C39" s="75" t="s">
        <v>1837</v>
      </c>
      <c r="D39" s="120" t="s">
        <v>1923</v>
      </c>
      <c r="E39" s="103" t="str">
        <f>HYPERLINK("https://youtu.be/4V_Y9cG8w3g","channel 1")</f>
        <v>channel 1</v>
      </c>
    </row>
    <row r="40">
      <c r="B40" s="72" t="s">
        <v>1013</v>
      </c>
      <c r="C40" s="75" t="s">
        <v>1824</v>
      </c>
      <c r="D40" s="120" t="s">
        <v>1160</v>
      </c>
      <c r="E40" s="103" t="str">
        <f>HYPERLINK("https://youtu.be/sO2E3uyqQ1Y","channel 2")</f>
        <v>channel 2</v>
      </c>
    </row>
    <row r="41">
      <c r="B41" s="72" t="s">
        <v>1921</v>
      </c>
      <c r="C41" s="73" t="s">
        <v>1824</v>
      </c>
      <c r="D41" s="120" t="s">
        <v>1923</v>
      </c>
      <c r="E41" s="103" t="str">
        <f>HYPERLINK("https://youtu.be/R1wsrjqqvfM","channel 1")</f>
        <v>channel 1</v>
      </c>
    </row>
    <row r="42">
      <c r="B42" s="72" t="s">
        <v>1013</v>
      </c>
      <c r="C42" s="73" t="s">
        <v>1850</v>
      </c>
      <c r="D42" s="120" t="s">
        <v>1163</v>
      </c>
      <c r="E42" s="80" t="s">
        <v>28</v>
      </c>
    </row>
    <row r="43">
      <c r="B43" s="72" t="s">
        <v>1160</v>
      </c>
      <c r="C43" s="75" t="s">
        <v>1824</v>
      </c>
      <c r="D43" s="120" t="s">
        <v>1923</v>
      </c>
      <c r="E43" s="103" t="str">
        <f>HYPERLINK("https://youtu.be/-KSY7tmiLzU","channel 1")</f>
        <v>channel 1</v>
      </c>
    </row>
    <row r="44">
      <c r="B44" s="72" t="s">
        <v>1921</v>
      </c>
      <c r="C44" s="75" t="s">
        <v>1849</v>
      </c>
      <c r="D44" s="120" t="s">
        <v>1163</v>
      </c>
      <c r="E44" s="80" t="s">
        <v>28</v>
      </c>
    </row>
    <row r="45">
      <c r="B45" s="42" t="s">
        <v>202</v>
      </c>
      <c r="C45" s="3"/>
      <c r="D45" s="3"/>
      <c r="E45" s="4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1411</v>
      </c>
      <c r="C47" s="70" t="s">
        <v>1824</v>
      </c>
      <c r="D47" s="71" t="s">
        <v>1875</v>
      </c>
      <c r="E47" s="103" t="str">
        <f>HYPERLINK("https://youtu.be/oLZwxYyDj9E","channel 1")</f>
        <v>channel 1</v>
      </c>
    </row>
    <row r="48">
      <c r="B48" s="72" t="s">
        <v>1925</v>
      </c>
      <c r="C48" s="73" t="s">
        <v>1833</v>
      </c>
      <c r="D48" s="86" t="s">
        <v>1926</v>
      </c>
      <c r="E48" s="103" t="str">
        <f>HYPERLINK("https://youtu.be/EWfsCy4QvdE","channel 2")</f>
        <v>channel 2</v>
      </c>
    </row>
    <row r="49">
      <c r="B49" s="72" t="s">
        <v>1927</v>
      </c>
      <c r="C49" s="73" t="s">
        <v>1837</v>
      </c>
      <c r="D49" s="74" t="s">
        <v>1411</v>
      </c>
      <c r="E49" s="103" t="str">
        <f>HYPERLINK("https://youtu.be/fmVMXZbUwZQ","channel 1")</f>
        <v>channel 1</v>
      </c>
    </row>
    <row r="50">
      <c r="B50" s="72" t="s">
        <v>1925</v>
      </c>
      <c r="C50" s="73" t="s">
        <v>1892</v>
      </c>
      <c r="D50" s="74" t="s">
        <v>1875</v>
      </c>
      <c r="E50" s="103" t="str">
        <f>HYPERLINK("https://youtu.be/lYlVK2XTB7o","channel 2")</f>
        <v>channel 2</v>
      </c>
    </row>
    <row r="51">
      <c r="B51" s="72" t="s">
        <v>1927</v>
      </c>
      <c r="C51" s="73" t="s">
        <v>1829</v>
      </c>
      <c r="D51" s="86" t="s">
        <v>1926</v>
      </c>
      <c r="E51" s="103" t="str">
        <f>HYPERLINK("https://","channel 1")</f>
        <v>channel 1</v>
      </c>
    </row>
    <row r="52">
      <c r="B52" s="72" t="s">
        <v>1925</v>
      </c>
      <c r="C52" s="73" t="s">
        <v>1841</v>
      </c>
      <c r="D52" s="74" t="s">
        <v>1411</v>
      </c>
      <c r="E52" s="103" t="str">
        <f>HYPERLINK("https://youtu.be/oJ6qMNokbQ4","channel 2")</f>
        <v>channel 2</v>
      </c>
    </row>
    <row r="53">
      <c r="B53" s="72" t="s">
        <v>1927</v>
      </c>
      <c r="C53" s="73" t="s">
        <v>1907</v>
      </c>
      <c r="D53" s="74" t="s">
        <v>1875</v>
      </c>
      <c r="E53" s="103" t="str">
        <f>HYPERLINK("https://youtu.be/84AjOpGBDtM","channel 1")</f>
        <v>channel 1</v>
      </c>
    </row>
    <row r="54">
      <c r="B54" s="79" t="s">
        <v>1926</v>
      </c>
      <c r="C54" s="73" t="s">
        <v>1826</v>
      </c>
      <c r="D54" s="74" t="s">
        <v>1411</v>
      </c>
      <c r="E54" s="103" t="str">
        <f>HYPERLINK("https://youtu.be/2wfqqCytC6Q","channel 2")</f>
        <v>channel 2</v>
      </c>
    </row>
    <row r="55">
      <c r="B55" s="72" t="s">
        <v>1927</v>
      </c>
      <c r="C55" s="73" t="s">
        <v>1829</v>
      </c>
      <c r="D55" s="74" t="s">
        <v>1925</v>
      </c>
      <c r="E55" s="103" t="str">
        <f>HYPERLINK("https://youtu.be/hMu--Yq6fe4","channel 1")</f>
        <v>channel 1</v>
      </c>
    </row>
    <row r="56">
      <c r="B56" s="79" t="s">
        <v>1926</v>
      </c>
      <c r="C56" s="73" t="s">
        <v>1841</v>
      </c>
      <c r="D56" s="74" t="s">
        <v>1875</v>
      </c>
      <c r="E56" s="103" t="str">
        <f>HYPERLINK("https://youtu.be/o7OpmJkZNcs","channel 2")</f>
        <v>channel 2</v>
      </c>
      <c r="F56" s="113"/>
    </row>
    <row r="57">
      <c r="B57" s="72" t="s">
        <v>1875</v>
      </c>
      <c r="C57" s="73" t="s">
        <v>1851</v>
      </c>
      <c r="D57" s="74" t="s">
        <v>1411</v>
      </c>
      <c r="E57" s="103" t="str">
        <f>HYPERLINK("https://youtu.be/84AjOpGBDtM","channel 1")</f>
        <v>channel 1</v>
      </c>
      <c r="G57" s="114"/>
    </row>
    <row r="58">
      <c r="B58" s="79" t="s">
        <v>1926</v>
      </c>
      <c r="C58" s="73" t="s">
        <v>1830</v>
      </c>
      <c r="D58" s="74" t="s">
        <v>1925</v>
      </c>
      <c r="E58" s="103" t="str">
        <f>HYPERLINK("https://youtu.be/tKjBkiikXxQ","channel 2")</f>
        <v>channel 2</v>
      </c>
    </row>
    <row r="59">
      <c r="B59" s="72" t="s">
        <v>1411</v>
      </c>
      <c r="C59" s="75" t="s">
        <v>1824</v>
      </c>
      <c r="D59" s="74" t="s">
        <v>1927</v>
      </c>
      <c r="E59" s="103" t="str">
        <f>HYPERLINK("https://youtu.be/DtAo5sLlc74","channel 1")</f>
        <v>channel 1</v>
      </c>
    </row>
    <row r="60">
      <c r="B60" s="72" t="s">
        <v>1875</v>
      </c>
      <c r="C60" s="75" t="s">
        <v>1847</v>
      </c>
      <c r="D60" s="74" t="s">
        <v>1925</v>
      </c>
      <c r="E60" s="103" t="str">
        <f>HYPERLINK("https://youtu.be/OiAHNu5uxf0","channel 2")</f>
        <v>channel 2</v>
      </c>
    </row>
    <row r="61">
      <c r="B61" s="79" t="s">
        <v>1926</v>
      </c>
      <c r="C61" s="75" t="s">
        <v>1834</v>
      </c>
      <c r="D61" s="74" t="s">
        <v>1927</v>
      </c>
      <c r="E61" s="103" t="str">
        <f>HYPERLINK("https://youtu.be/uLVP-44_vIM","channel 1")</f>
        <v>channel 1</v>
      </c>
    </row>
    <row r="62">
      <c r="B62" s="72" t="s">
        <v>1411</v>
      </c>
      <c r="C62" s="75" t="s">
        <v>1861</v>
      </c>
      <c r="D62" s="74" t="s">
        <v>1925</v>
      </c>
      <c r="E62" s="103" t="str">
        <f>HYPERLINK("https://youtu.be/it5U0GdmjKM","channel 2")</f>
        <v>channel 2</v>
      </c>
    </row>
    <row r="63">
      <c r="B63" s="72" t="s">
        <v>1875</v>
      </c>
      <c r="C63" s="73" t="s">
        <v>1851</v>
      </c>
      <c r="D63" s="74" t="s">
        <v>1927</v>
      </c>
      <c r="E63" s="103" t="str">
        <f>HYPERLINK("https://youtu.be/_gTjWNra7UU","channel 1")</f>
        <v>channel 1</v>
      </c>
    </row>
    <row r="64">
      <c r="B64" s="72" t="s">
        <v>1411</v>
      </c>
      <c r="C64" s="73" t="s">
        <v>1827</v>
      </c>
      <c r="D64" s="86" t="s">
        <v>1926</v>
      </c>
      <c r="E64" s="103" t="str">
        <f>HYPERLINK("https://youtu.be/ccMJfwf0o3s","channel 2")</f>
        <v>channel 2</v>
      </c>
    </row>
    <row r="65">
      <c r="B65" s="72" t="s">
        <v>1925</v>
      </c>
      <c r="C65" s="75" t="s">
        <v>1841</v>
      </c>
      <c r="D65" s="74" t="s">
        <v>1927</v>
      </c>
      <c r="E65" s="103" t="str">
        <f>HYPERLINK("https://youtu.be/_gTjWNra7UU","channel 1")</f>
        <v>channel 1</v>
      </c>
    </row>
    <row r="66">
      <c r="B66" s="72" t="s">
        <v>1875</v>
      </c>
      <c r="C66" s="75" t="s">
        <v>1917</v>
      </c>
      <c r="D66" s="86" t="s">
        <v>1926</v>
      </c>
      <c r="E66" s="103" t="str">
        <f>HYPERLINK("https://youtu.be/v6GxfvAV-s4","channel 2")</f>
        <v>channel 2</v>
      </c>
    </row>
    <row r="67">
      <c r="B67" s="42" t="s">
        <v>240</v>
      </c>
      <c r="C67" s="3"/>
      <c r="D67" s="3"/>
      <c r="E67" s="4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783</v>
      </c>
      <c r="C69" s="73" t="s">
        <v>1827</v>
      </c>
      <c r="D69" s="71" t="s">
        <v>850</v>
      </c>
      <c r="E69" s="103" t="str">
        <f>HYPERLINK("https://youtu.be/Vm-HvZb5k3w","channel 1")</f>
        <v>channel 1</v>
      </c>
    </row>
    <row r="70">
      <c r="B70" s="72" t="s">
        <v>1928</v>
      </c>
      <c r="C70" s="73" t="s">
        <v>1848</v>
      </c>
      <c r="D70" s="74" t="s">
        <v>1686</v>
      </c>
      <c r="E70" s="103" t="str">
        <f>HYPERLINK("https://youtu.be/jw-xshzE2rk","channel 2")</f>
        <v>channel 2</v>
      </c>
    </row>
    <row r="71">
      <c r="B71" s="72" t="s">
        <v>1929</v>
      </c>
      <c r="C71" s="73" t="s">
        <v>1827</v>
      </c>
      <c r="D71" s="74" t="s">
        <v>783</v>
      </c>
      <c r="E71" s="103" t="str">
        <f>HYPERLINK("https://youtu.be/5jQPZCd_tnw","channel 1")</f>
        <v>channel 1</v>
      </c>
    </row>
    <row r="72">
      <c r="B72" s="72" t="s">
        <v>1928</v>
      </c>
      <c r="C72" s="73" t="s">
        <v>1837</v>
      </c>
      <c r="D72" s="74" t="s">
        <v>850</v>
      </c>
      <c r="E72" s="103" t="str">
        <f>HYPERLINK("https://youtu.be/aOX4KNeXLFA","channel 2")</f>
        <v>channel 2</v>
      </c>
    </row>
    <row r="73">
      <c r="B73" s="72" t="s">
        <v>1929</v>
      </c>
      <c r="C73" s="73" t="s">
        <v>1831</v>
      </c>
      <c r="D73" s="74" t="s">
        <v>1686</v>
      </c>
      <c r="E73" s="103" t="str">
        <f>HYPERLINK("https://youtu.be/Vm-HvZb5k3w","channel 1")</f>
        <v>channel 1</v>
      </c>
    </row>
    <row r="74">
      <c r="B74" s="72" t="s">
        <v>1928</v>
      </c>
      <c r="C74" s="73" t="s">
        <v>1834</v>
      </c>
      <c r="D74" s="74" t="s">
        <v>783</v>
      </c>
      <c r="E74" s="103" t="str">
        <f>HYPERLINK("https://youtu.be/7CRhHpeTDGg","channel 2")</f>
        <v>channel 2</v>
      </c>
    </row>
    <row r="75">
      <c r="B75" s="72" t="s">
        <v>1929</v>
      </c>
      <c r="C75" s="73" t="s">
        <v>1877</v>
      </c>
      <c r="D75" s="74" t="s">
        <v>850</v>
      </c>
      <c r="E75" s="103" t="str">
        <f>HYPERLINK("https://youtu.be/Vm-HvZb5k3w","channel 1")</f>
        <v>channel 1</v>
      </c>
    </row>
    <row r="76">
      <c r="B76" s="72" t="s">
        <v>1686</v>
      </c>
      <c r="C76" s="73" t="s">
        <v>1845</v>
      </c>
      <c r="D76" s="74" t="s">
        <v>783</v>
      </c>
      <c r="E76" s="103" t="str">
        <f>HYPERLINK("https://youtu.be/TM5fafS_Q0s","channel 2")</f>
        <v>channel 2</v>
      </c>
    </row>
    <row r="77">
      <c r="B77" s="72" t="s">
        <v>1929</v>
      </c>
      <c r="C77" s="73" t="s">
        <v>1826</v>
      </c>
      <c r="D77" s="74" t="s">
        <v>1928</v>
      </c>
      <c r="E77" s="103" t="str">
        <f>HYPERLINK("https://youtu.be/Vm-HvZb5k3w","channel 1")</f>
        <v>channel 1</v>
      </c>
    </row>
    <row r="78">
      <c r="B78" s="72" t="s">
        <v>1686</v>
      </c>
      <c r="C78" s="73" t="s">
        <v>1930</v>
      </c>
      <c r="D78" s="74" t="s">
        <v>850</v>
      </c>
      <c r="E78" s="103" t="str">
        <f>HYPERLINK("https://youtu.be/WDEPmcYZGZY","channel 2")</f>
        <v>channel 2</v>
      </c>
    </row>
    <row r="79">
      <c r="B79" s="72" t="s">
        <v>850</v>
      </c>
      <c r="C79" s="73" t="s">
        <v>1841</v>
      </c>
      <c r="D79" s="74" t="s">
        <v>783</v>
      </c>
      <c r="E79" s="103" t="str">
        <f>HYPERLINK("https://youtu.be/Vm-HvZb5k3w","channel 1")</f>
        <v>channel 1</v>
      </c>
    </row>
    <row r="80">
      <c r="B80" s="72" t="s">
        <v>1686</v>
      </c>
      <c r="C80" s="73" t="s">
        <v>1827</v>
      </c>
      <c r="D80" s="74" t="s">
        <v>1928</v>
      </c>
      <c r="E80" s="103" t="str">
        <f>HYPERLINK("https://youtu.be/IQ7cGHptRFo","channel 2")</f>
        <v>channel 2</v>
      </c>
    </row>
    <row r="81">
      <c r="B81" s="72" t="s">
        <v>783</v>
      </c>
      <c r="C81" s="75" t="s">
        <v>1861</v>
      </c>
      <c r="D81" s="74" t="s">
        <v>1929</v>
      </c>
      <c r="E81" s="103" t="str">
        <f>HYPERLINK("https://youtu.be/Vm-HvZb5k3w","channel 1")</f>
        <v>channel 1</v>
      </c>
    </row>
    <row r="82">
      <c r="B82" s="72" t="s">
        <v>850</v>
      </c>
      <c r="C82" s="75" t="s">
        <v>1827</v>
      </c>
      <c r="D82" s="74" t="s">
        <v>1928</v>
      </c>
      <c r="E82" s="103" t="str">
        <f>HYPERLINK("https://youtu.be/WnUKs_vev7g","channel 2")</f>
        <v>channel 2</v>
      </c>
    </row>
    <row r="83">
      <c r="B83" s="72" t="s">
        <v>1686</v>
      </c>
      <c r="C83" s="75" t="s">
        <v>1826</v>
      </c>
      <c r="D83" s="74" t="s">
        <v>1929</v>
      </c>
      <c r="E83" s="103" t="str">
        <f>HYPERLINK("https://youtu.be/Vm-HvZb5k3w","channel 1")</f>
        <v>channel 1</v>
      </c>
    </row>
    <row r="84">
      <c r="B84" s="72" t="s">
        <v>783</v>
      </c>
      <c r="C84" s="75" t="s">
        <v>1854</v>
      </c>
      <c r="D84" s="74" t="s">
        <v>1928</v>
      </c>
      <c r="E84" s="103" t="str">
        <f>HYPERLINK("https://youtu.be/m8mLbdbQ6Ng","channel 2")</f>
        <v>channel 2</v>
      </c>
    </row>
    <row r="85">
      <c r="B85" s="72" t="s">
        <v>850</v>
      </c>
      <c r="C85" s="73" t="s">
        <v>1848</v>
      </c>
      <c r="D85" s="74" t="s">
        <v>1929</v>
      </c>
      <c r="E85" s="103" t="str">
        <f>HYPERLINK("https://youtu.be/ihDVSFQYcf4","channel 1")</f>
        <v>channel 1</v>
      </c>
    </row>
    <row r="86">
      <c r="B86" s="72" t="s">
        <v>783</v>
      </c>
      <c r="C86" s="73" t="s">
        <v>1833</v>
      </c>
      <c r="D86" s="74" t="s">
        <v>1686</v>
      </c>
      <c r="E86" s="103" t="str">
        <f>HYPERLINK("https://youtu.be/GxZExvQirm0","channel 2")</f>
        <v>channel 2</v>
      </c>
    </row>
    <row r="87">
      <c r="B87" s="72" t="s">
        <v>1928</v>
      </c>
      <c r="C87" s="75" t="s">
        <v>1831</v>
      </c>
      <c r="D87" s="74" t="s">
        <v>1929</v>
      </c>
      <c r="E87" s="103" t="str">
        <f>HYPERLINK("https://youtu.be/6X35v9wZgaA","channel 1")</f>
        <v>channel 1</v>
      </c>
    </row>
    <row r="88">
      <c r="B88" s="72" t="s">
        <v>850</v>
      </c>
      <c r="C88" s="75" t="s">
        <v>1845</v>
      </c>
      <c r="D88" s="74" t="s">
        <v>1686</v>
      </c>
      <c r="E88" s="103" t="str">
        <f>HYPERLINK("https://youtu.be/_fSdj37_wxs","channel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1919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1680</v>
      </c>
      <c r="C3" s="70" t="s">
        <v>1851</v>
      </c>
      <c r="D3" s="71" t="s">
        <v>221</v>
      </c>
      <c r="E3" s="103" t="str">
        <f>HYPERLINK("https://youtu.be/A2qlo48VG1g","channel 1")</f>
        <v>channel 1</v>
      </c>
    </row>
    <row r="4">
      <c r="B4" s="72" t="s">
        <v>1620</v>
      </c>
      <c r="C4" s="91" t="s">
        <v>1849</v>
      </c>
      <c r="D4" s="74" t="s">
        <v>1199</v>
      </c>
      <c r="E4" s="80" t="s">
        <v>28</v>
      </c>
    </row>
    <row r="5">
      <c r="B5" s="72" t="s">
        <v>1558</v>
      </c>
      <c r="C5" s="73" t="s">
        <v>1824</v>
      </c>
      <c r="D5" s="74" t="s">
        <v>221</v>
      </c>
      <c r="E5" s="103" t="str">
        <f>HYPERLINK("https://youtu.be/RrI-g2oMW84","channel 1")</f>
        <v>channel 1</v>
      </c>
    </row>
    <row r="6">
      <c r="B6" s="72" t="s">
        <v>1199</v>
      </c>
      <c r="C6" s="73" t="s">
        <v>1840</v>
      </c>
      <c r="D6" s="74" t="s">
        <v>1680</v>
      </c>
      <c r="E6" s="103" t="str">
        <f>HYPERLINK("https://youtu.be/lWkjTeO4W-E","channel 2")</f>
        <v>channel 2</v>
      </c>
    </row>
    <row r="7">
      <c r="B7" s="72" t="s">
        <v>1558</v>
      </c>
      <c r="C7" s="73" t="s">
        <v>1870</v>
      </c>
      <c r="D7" s="74" t="s">
        <v>1199</v>
      </c>
      <c r="E7" s="103" t="str">
        <f>HYPERLINK("https://youtu.be/vZqdN1fhv4E","channel 1")</f>
        <v>channel 1</v>
      </c>
    </row>
    <row r="8">
      <c r="B8" s="72" t="s">
        <v>1620</v>
      </c>
      <c r="C8" s="73" t="s">
        <v>1826</v>
      </c>
      <c r="D8" s="74" t="s">
        <v>1680</v>
      </c>
      <c r="E8" s="103" t="str">
        <f>HYPERLINK("https://youtu.be/lkTKrrx7mfY","channel 2")</f>
        <v>channel 2</v>
      </c>
    </row>
    <row r="9">
      <c r="B9" s="72" t="s">
        <v>1558</v>
      </c>
      <c r="C9" s="73" t="s">
        <v>1831</v>
      </c>
      <c r="D9" s="74" t="s">
        <v>1680</v>
      </c>
      <c r="E9" s="103" t="str">
        <f>HYPERLINK("https://youtu.be/AP3GcMM_tcE","channel 1")</f>
        <v>channel 1</v>
      </c>
      <c r="G9" s="47"/>
      <c r="H9" s="119"/>
      <c r="I9" s="47"/>
    </row>
    <row r="10">
      <c r="B10" s="72" t="s">
        <v>1620</v>
      </c>
      <c r="C10" s="73" t="s">
        <v>1834</v>
      </c>
      <c r="D10" s="74" t="s">
        <v>221</v>
      </c>
      <c r="E10" s="103" t="str">
        <f>HYPERLINK("https://youtu.be/FcxPP4eBpOU","channel 2")</f>
        <v>channel 2</v>
      </c>
      <c r="G10" s="47"/>
      <c r="H10" s="119"/>
      <c r="I10" s="47"/>
    </row>
    <row r="11">
      <c r="B11" s="72" t="s">
        <v>1558</v>
      </c>
      <c r="C11" s="73" t="s">
        <v>1922</v>
      </c>
      <c r="D11" s="74" t="s">
        <v>1620</v>
      </c>
      <c r="E11" s="103" t="str">
        <f>HYPERLINK("https://youtu.be/J2aMbri_tMw","channel 1")</f>
        <v>channel 1</v>
      </c>
    </row>
    <row r="12">
      <c r="B12" s="72" t="s">
        <v>1199</v>
      </c>
      <c r="C12" s="73" t="s">
        <v>1837</v>
      </c>
      <c r="D12" s="74" t="s">
        <v>221</v>
      </c>
      <c r="E12" s="103" t="str">
        <f>HYPERLINK("https://youtu.be/y2geQojrSmc","channel 2")</f>
        <v>channel 2</v>
      </c>
    </row>
    <row r="13">
      <c r="B13" s="72" t="s">
        <v>221</v>
      </c>
      <c r="C13" s="73" t="s">
        <v>1832</v>
      </c>
      <c r="D13" s="74" t="s">
        <v>1680</v>
      </c>
      <c r="E13" s="103" t="str">
        <f>HYPERLINK("https://youtu.be/bK73rB0e-Pc","channel 1")</f>
        <v>channel 1</v>
      </c>
    </row>
    <row r="14">
      <c r="B14" s="72" t="s">
        <v>1199</v>
      </c>
      <c r="C14" s="73" t="s">
        <v>1849</v>
      </c>
      <c r="D14" s="74" t="s">
        <v>1620</v>
      </c>
      <c r="E14" s="103" t="str">
        <f>HYPERLINK("https://youtu.be/3mG8p7IEdJU","channel 2")</f>
        <v>channel 2</v>
      </c>
    </row>
    <row r="15">
      <c r="B15" s="72" t="s">
        <v>1680</v>
      </c>
      <c r="C15" s="75" t="s">
        <v>1845</v>
      </c>
      <c r="D15" s="74" t="s">
        <v>1558</v>
      </c>
      <c r="E15" s="103" t="str">
        <f>HYPERLINK("https://youtu.be/RemQkf1d9ZA","channel 1")</f>
        <v>channel 1</v>
      </c>
    </row>
    <row r="16">
      <c r="B16" s="72" t="s">
        <v>221</v>
      </c>
      <c r="C16" s="75" t="s">
        <v>1826</v>
      </c>
      <c r="D16" s="74" t="s">
        <v>1620</v>
      </c>
      <c r="E16" s="103" t="str">
        <f>HYPERLINK("https://youtu.be/OS7JZ2zrdxk","channel 2")</f>
        <v>channel 2</v>
      </c>
    </row>
    <row r="17">
      <c r="B17" s="72" t="s">
        <v>1199</v>
      </c>
      <c r="C17" s="75" t="s">
        <v>1852</v>
      </c>
      <c r="D17" s="74" t="s">
        <v>1558</v>
      </c>
      <c r="E17" s="103" t="str">
        <f>HYPERLINK("https://youtu.be/hzrEeqK6Xu8","channel 1")</f>
        <v>channel 1</v>
      </c>
    </row>
    <row r="18">
      <c r="B18" s="72" t="s">
        <v>1680</v>
      </c>
      <c r="C18" s="75" t="s">
        <v>1877</v>
      </c>
      <c r="D18" s="74" t="s">
        <v>1620</v>
      </c>
      <c r="E18" s="103" t="str">
        <f>HYPERLINK("https://youtu.be/WqqT3DyvNNs","channel 2")</f>
        <v>channel 2</v>
      </c>
    </row>
    <row r="19">
      <c r="B19" s="72" t="s">
        <v>221</v>
      </c>
      <c r="C19" s="73" t="s">
        <v>1840</v>
      </c>
      <c r="D19" s="74" t="s">
        <v>1558</v>
      </c>
      <c r="E19" s="103" t="str">
        <f>HYPERLINK("https://youtu.be/FNFaBgDNohQ","channel 1")</f>
        <v>channel 1</v>
      </c>
    </row>
    <row r="20">
      <c r="B20" s="72" t="s">
        <v>1680</v>
      </c>
      <c r="C20" s="73" t="s">
        <v>1833</v>
      </c>
      <c r="D20" s="74" t="s">
        <v>1199</v>
      </c>
      <c r="E20" s="103" t="str">
        <f>HYPERLINK("https://youtu.be/WpxrQNqovLE","channel 2")</f>
        <v>channel 2</v>
      </c>
    </row>
    <row r="21">
      <c r="B21" s="72" t="s">
        <v>1620</v>
      </c>
      <c r="C21" s="75" t="s">
        <v>1836</v>
      </c>
      <c r="D21" s="74" t="s">
        <v>1558</v>
      </c>
      <c r="E21" s="103" t="str">
        <f>HYPERLINK("https://youtu.be/9HltizDxAps","channel 1")</f>
        <v>channel 1</v>
      </c>
    </row>
    <row r="22">
      <c r="B22" s="72" t="s">
        <v>221</v>
      </c>
      <c r="C22" s="75" t="s">
        <v>1840</v>
      </c>
      <c r="D22" s="74" t="s">
        <v>1199</v>
      </c>
      <c r="E22" s="103" t="str">
        <f>HYPERLINK("https://youtu.be/QnKQUAcmf9U","channel 2")</f>
        <v>channel 2</v>
      </c>
    </row>
    <row r="23">
      <c r="B23" s="2" t="s">
        <v>580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1197</v>
      </c>
      <c r="C25" s="73" t="s">
        <v>1834</v>
      </c>
      <c r="D25" s="120" t="s">
        <v>951</v>
      </c>
      <c r="E25" s="103" t="str">
        <f>HYPERLINK("https://youtu.be/rEX2EHJ9Nls","channel 1")</f>
        <v>channel 1</v>
      </c>
    </row>
    <row r="26">
      <c r="B26" s="72" t="s">
        <v>1307</v>
      </c>
      <c r="C26" s="73" t="s">
        <v>1830</v>
      </c>
      <c r="D26" s="120" t="s">
        <v>1924</v>
      </c>
      <c r="E26" s="103" t="str">
        <f>HYPERLINK("https://youtu.be/8ztnPzKkeTA","channel 2")</f>
        <v>channel 2</v>
      </c>
    </row>
    <row r="27">
      <c r="B27" s="72" t="s">
        <v>559</v>
      </c>
      <c r="C27" s="73" t="s">
        <v>1833</v>
      </c>
      <c r="D27" s="120" t="s">
        <v>1197</v>
      </c>
      <c r="E27" s="103" t="str">
        <f>HYPERLINK("https://youtu.be/OTkWZqmp_IQ","channel 1")</f>
        <v>channel 1</v>
      </c>
    </row>
    <row r="28">
      <c r="B28" s="72" t="s">
        <v>1307</v>
      </c>
      <c r="C28" s="73" t="s">
        <v>1896</v>
      </c>
      <c r="D28" s="120" t="s">
        <v>951</v>
      </c>
      <c r="E28" s="103" t="str">
        <f>HYPERLINK("https://youtu.be/V6Z4of_nRY0","channel 2")</f>
        <v>channel 2</v>
      </c>
    </row>
    <row r="29">
      <c r="B29" s="72" t="s">
        <v>559</v>
      </c>
      <c r="C29" s="73" t="s">
        <v>1834</v>
      </c>
      <c r="D29" s="120" t="s">
        <v>1924</v>
      </c>
      <c r="E29" s="103" t="str">
        <f>HYPERLINK("https://youtu.be/72gdJVne8ng","channel 1")</f>
        <v>channel 1</v>
      </c>
    </row>
    <row r="30">
      <c r="B30" s="72" t="s">
        <v>1307</v>
      </c>
      <c r="C30" s="73" t="s">
        <v>1845</v>
      </c>
      <c r="D30" s="120" t="s">
        <v>1197</v>
      </c>
      <c r="E30" s="103" t="str">
        <f>HYPERLINK("https://youtu.be/BeiasJyVixo","channel 2")</f>
        <v>channel 2</v>
      </c>
    </row>
    <row r="31">
      <c r="B31" s="72" t="s">
        <v>559</v>
      </c>
      <c r="C31" s="73" t="s">
        <v>1837</v>
      </c>
      <c r="D31" s="120" t="s">
        <v>951</v>
      </c>
      <c r="E31" s="103" t="str">
        <f>HYPERLINK("https://youtu.be/2xLL_JpJYPc","channel 1")</f>
        <v>channel 1</v>
      </c>
    </row>
    <row r="32">
      <c r="B32" s="72" t="s">
        <v>1924</v>
      </c>
      <c r="C32" s="73" t="s">
        <v>1840</v>
      </c>
      <c r="D32" s="120" t="s">
        <v>1197</v>
      </c>
      <c r="E32" s="103" t="str">
        <f>HYPERLINK("https://youtu.be/cBpiSrX5odU","channel 2")</f>
        <v>channel 2</v>
      </c>
    </row>
    <row r="33">
      <c r="B33" s="72" t="s">
        <v>559</v>
      </c>
      <c r="C33" s="73" t="s">
        <v>1849</v>
      </c>
      <c r="D33" s="120" t="s">
        <v>1307</v>
      </c>
      <c r="E33" s="103" t="str">
        <f>HYPERLINK("https://youtu.be/4fH46rm2PYM","channel 1")</f>
        <v>channel 1</v>
      </c>
    </row>
    <row r="34">
      <c r="B34" s="72" t="s">
        <v>1924</v>
      </c>
      <c r="C34" s="73" t="s">
        <v>1833</v>
      </c>
      <c r="D34" s="120" t="s">
        <v>951</v>
      </c>
      <c r="E34" s="103" t="str">
        <f>HYPERLINK("https://youtu.be/Wsh0vGfI7jA","channel 2")</f>
        <v>channel 2</v>
      </c>
    </row>
    <row r="35">
      <c r="B35" s="72" t="s">
        <v>951</v>
      </c>
      <c r="C35" s="73" t="s">
        <v>1847</v>
      </c>
      <c r="D35" s="120" t="s">
        <v>1197</v>
      </c>
      <c r="E35" s="103" t="str">
        <f>HYPERLINK("https://youtu.be/0lt3ChLywl4","channel 1")</f>
        <v>channel 1</v>
      </c>
    </row>
    <row r="36">
      <c r="B36" s="72" t="s">
        <v>1924</v>
      </c>
      <c r="C36" s="73" t="s">
        <v>1830</v>
      </c>
      <c r="D36" s="120" t="s">
        <v>1307</v>
      </c>
      <c r="E36" s="103" t="str">
        <f>HYPERLINK("https://youtu.be/nvOfVtZyuTw","channel 2")</f>
        <v>channel 2</v>
      </c>
    </row>
    <row r="37">
      <c r="B37" s="72" t="s">
        <v>1197</v>
      </c>
      <c r="C37" s="75" t="s">
        <v>1835</v>
      </c>
      <c r="D37" s="120" t="s">
        <v>559</v>
      </c>
      <c r="E37" s="103" t="str">
        <f>HYPERLINK("https://youtu.be/5RscZA4qnXM","channel 1")</f>
        <v>channel 1</v>
      </c>
    </row>
    <row r="38">
      <c r="B38" s="72" t="s">
        <v>951</v>
      </c>
      <c r="C38" s="75" t="s">
        <v>1852</v>
      </c>
      <c r="D38" s="120" t="s">
        <v>1307</v>
      </c>
      <c r="E38" s="103" t="str">
        <f>HYPERLINK("https://youtu.be/2GNDLnvEFEA","channel 2")</f>
        <v>channel 2</v>
      </c>
    </row>
    <row r="39">
      <c r="B39" s="72" t="s">
        <v>1924</v>
      </c>
      <c r="C39" s="75" t="s">
        <v>1851</v>
      </c>
      <c r="D39" s="120" t="s">
        <v>559</v>
      </c>
      <c r="E39" s="103" t="str">
        <f>HYPERLINK("https://youtu.be/dkMuQveGhJU","channel 1")</f>
        <v>channel 1</v>
      </c>
    </row>
    <row r="40">
      <c r="B40" s="72" t="s">
        <v>1197</v>
      </c>
      <c r="C40" s="75" t="s">
        <v>1834</v>
      </c>
      <c r="D40" s="120" t="s">
        <v>1307</v>
      </c>
      <c r="E40" s="103" t="str">
        <f>HYPERLINK("https://youtu.be/3VjHi6eyenU","channel 2")</f>
        <v>channel 2</v>
      </c>
    </row>
    <row r="41">
      <c r="B41" s="72" t="s">
        <v>951</v>
      </c>
      <c r="C41" s="73" t="s">
        <v>1840</v>
      </c>
      <c r="D41" s="120" t="s">
        <v>559</v>
      </c>
      <c r="E41" s="103" t="str">
        <f>HYPERLINK("https://youtu.be/e4Inb9gr-Qw","channel 1")</f>
        <v>channel 1</v>
      </c>
    </row>
    <row r="42">
      <c r="B42" s="72" t="s">
        <v>1197</v>
      </c>
      <c r="C42" s="73" t="s">
        <v>1847</v>
      </c>
      <c r="D42" s="120" t="s">
        <v>1924</v>
      </c>
      <c r="E42" s="80" t="s">
        <v>28</v>
      </c>
    </row>
    <row r="43">
      <c r="B43" s="72" t="s">
        <v>1307</v>
      </c>
      <c r="C43" s="75" t="s">
        <v>1840</v>
      </c>
      <c r="D43" s="120" t="s">
        <v>559</v>
      </c>
      <c r="E43" s="103" t="str">
        <f>HYPERLINK("https://youtu.be/QqdKZ317ZQc","channel 1")</f>
        <v>channel 1</v>
      </c>
    </row>
    <row r="44">
      <c r="B44" s="72" t="s">
        <v>951</v>
      </c>
      <c r="C44" s="75" t="s">
        <v>1829</v>
      </c>
      <c r="D44" s="120" t="s">
        <v>1924</v>
      </c>
      <c r="E44" s="80" t="s">
        <v>28</v>
      </c>
    </row>
    <row r="45">
      <c r="B45" s="42" t="s">
        <v>377</v>
      </c>
      <c r="C45" s="3"/>
      <c r="D45" s="3"/>
      <c r="E45" s="4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50</v>
      </c>
      <c r="C47" s="73" t="s">
        <v>1849</v>
      </c>
      <c r="D47" s="120" t="s">
        <v>1363</v>
      </c>
      <c r="E47" s="103" t="str">
        <f>HYPERLINK("https://youtu.be/Hqocz0bEeUE","channel 1")</f>
        <v>channel 1</v>
      </c>
    </row>
    <row r="48">
      <c r="B48" s="72" t="s">
        <v>1796</v>
      </c>
      <c r="C48" s="73" t="s">
        <v>1849</v>
      </c>
      <c r="D48" s="120" t="s">
        <v>1567</v>
      </c>
      <c r="E48" s="103" t="str">
        <f>HYPERLINK("https://youtu.be/yzJSQik8z74","channel 2")</f>
        <v>channel 2</v>
      </c>
    </row>
    <row r="49">
      <c r="B49" s="72" t="s">
        <v>884</v>
      </c>
      <c r="C49" s="73" t="s">
        <v>1836</v>
      </c>
      <c r="D49" s="120" t="s">
        <v>50</v>
      </c>
      <c r="E49" s="103" t="str">
        <f>HYPERLINK("https://youtu.be/CB3s-0LlhF4","channel 1")</f>
        <v>channel 1</v>
      </c>
    </row>
    <row r="50">
      <c r="B50" s="72" t="s">
        <v>1796</v>
      </c>
      <c r="C50" s="73" t="s">
        <v>1826</v>
      </c>
      <c r="D50" s="120" t="s">
        <v>1363</v>
      </c>
      <c r="E50" s="103" t="str">
        <f>HYPERLINK("https://youtu.be/nCrtCte6XOM","channel 2")</f>
        <v>channel 2</v>
      </c>
    </row>
    <row r="51">
      <c r="B51" s="72" t="s">
        <v>884</v>
      </c>
      <c r="C51" s="73" t="s">
        <v>1826</v>
      </c>
      <c r="D51" s="120" t="s">
        <v>1567</v>
      </c>
      <c r="E51" s="103" t="str">
        <f>HYPERLINK("https://youtu.be/XErMfLOArQ0","channel 1")</f>
        <v>channel 1</v>
      </c>
    </row>
    <row r="52">
      <c r="B52" s="72" t="s">
        <v>1796</v>
      </c>
      <c r="C52" s="73" t="s">
        <v>1833</v>
      </c>
      <c r="D52" s="120" t="s">
        <v>50</v>
      </c>
      <c r="E52" s="103" t="str">
        <f>HYPERLINK("https://youtu.be/dhy2ZL-0HcE","channel 2")</f>
        <v>channel 2</v>
      </c>
    </row>
    <row r="53">
      <c r="B53" s="72" t="s">
        <v>884</v>
      </c>
      <c r="C53" s="73" t="s">
        <v>1840</v>
      </c>
      <c r="D53" s="120" t="s">
        <v>1363</v>
      </c>
      <c r="E53" s="103" t="str">
        <f>HYPERLINK("https://youtu.be/y0GX4ZmGOB0","channel 1")</f>
        <v>channel 1</v>
      </c>
    </row>
    <row r="54">
      <c r="B54" s="72" t="s">
        <v>1567</v>
      </c>
      <c r="C54" s="73" t="s">
        <v>1828</v>
      </c>
      <c r="D54" s="120" t="s">
        <v>50</v>
      </c>
      <c r="E54" s="103" t="str">
        <f>HYPERLINK("https://youtu.be/8LhbNWbe_2c","channel 2")</f>
        <v>channel 2</v>
      </c>
    </row>
    <row r="55">
      <c r="B55" s="72" t="s">
        <v>884</v>
      </c>
      <c r="C55" s="73" t="s">
        <v>1832</v>
      </c>
      <c r="D55" s="120" t="s">
        <v>1796</v>
      </c>
      <c r="E55" s="103" t="str">
        <f>HYPERLINK("https://youtu.be/EPDrAHrgeH0","channel 1")</f>
        <v>channel 1</v>
      </c>
    </row>
    <row r="56">
      <c r="B56" s="72" t="s">
        <v>1567</v>
      </c>
      <c r="C56" s="73" t="s">
        <v>1871</v>
      </c>
      <c r="D56" s="120" t="s">
        <v>1363</v>
      </c>
      <c r="E56" s="103" t="str">
        <f>HYPERLINK("https://youtu.be/JLiMTqjXlZU","channel 2")</f>
        <v>channel 2</v>
      </c>
      <c r="F56" s="113"/>
    </row>
    <row r="57">
      <c r="B57" s="72" t="s">
        <v>1363</v>
      </c>
      <c r="C57" s="73" t="s">
        <v>1849</v>
      </c>
      <c r="D57" s="120" t="s">
        <v>50</v>
      </c>
      <c r="E57" s="103" t="str">
        <f>HYPERLINK("https://youtu.be/vl4qj7-F2mY","channel 1")</f>
        <v>channel 1</v>
      </c>
      <c r="G57" s="114"/>
    </row>
    <row r="58">
      <c r="B58" s="72" t="s">
        <v>1567</v>
      </c>
      <c r="C58" s="73" t="s">
        <v>1832</v>
      </c>
      <c r="D58" s="120" t="s">
        <v>1796</v>
      </c>
      <c r="E58" s="103" t="str">
        <f>HYPERLINK("https://youtu.be/8glkS909OD8","channel 2")</f>
        <v>channel 2</v>
      </c>
    </row>
    <row r="59">
      <c r="B59" s="72" t="s">
        <v>50</v>
      </c>
      <c r="C59" s="75" t="s">
        <v>1845</v>
      </c>
      <c r="D59" s="120" t="s">
        <v>884</v>
      </c>
      <c r="E59" s="103" t="str">
        <f>HYPERLINK("https://youtu.be/exPdftmwb0g","channel 1")</f>
        <v>channel 1</v>
      </c>
    </row>
    <row r="60">
      <c r="B60" s="72" t="s">
        <v>1363</v>
      </c>
      <c r="C60" s="75" t="s">
        <v>1828</v>
      </c>
      <c r="D60" s="120" t="s">
        <v>1796</v>
      </c>
      <c r="E60" s="103" t="str">
        <f>HYPERLINK("https://youtu.be/gOYcZMdylOA","channel 2")</f>
        <v>channel 2</v>
      </c>
    </row>
    <row r="61">
      <c r="B61" s="72" t="s">
        <v>1567</v>
      </c>
      <c r="C61" s="75" t="s">
        <v>1871</v>
      </c>
      <c r="D61" s="120" t="s">
        <v>884</v>
      </c>
      <c r="E61" s="103" t="str">
        <f>HYPERLINK("https://youtu.be/Hh8pJnguFxY","channel 1")</f>
        <v>channel 1</v>
      </c>
    </row>
    <row r="62">
      <c r="B62" s="72" t="s">
        <v>50</v>
      </c>
      <c r="C62" s="75" t="s">
        <v>1834</v>
      </c>
      <c r="D62" s="120" t="s">
        <v>1796</v>
      </c>
      <c r="E62" s="103" t="str">
        <f>HYPERLINK("https://youtu.be/k-yoMfnS6F8","channel 2")</f>
        <v>channel 2</v>
      </c>
    </row>
    <row r="63">
      <c r="B63" s="72" t="s">
        <v>1363</v>
      </c>
      <c r="C63" s="73" t="s">
        <v>1845</v>
      </c>
      <c r="D63" s="120" t="s">
        <v>884</v>
      </c>
      <c r="E63" s="103" t="str">
        <f>HYPERLINK("https://youtu.be/pTTNmHF8WAk","channel 1")</f>
        <v>channel 1</v>
      </c>
    </row>
    <row r="64">
      <c r="B64" s="72" t="s">
        <v>50</v>
      </c>
      <c r="C64" s="73" t="s">
        <v>1837</v>
      </c>
      <c r="D64" s="120" t="s">
        <v>1567</v>
      </c>
      <c r="E64" s="103" t="str">
        <f>HYPERLINK("https://youtu.be/7sC7n03ybNU","channel 2")</f>
        <v>channel 2</v>
      </c>
    </row>
    <row r="65">
      <c r="B65" s="72" t="s">
        <v>1796</v>
      </c>
      <c r="C65" s="75" t="s">
        <v>1845</v>
      </c>
      <c r="D65" s="120" t="s">
        <v>884</v>
      </c>
      <c r="E65" s="103" t="str">
        <f>HYPERLINK("https://youtu.be/s21fo0qoR_c","channel 1")</f>
        <v>channel 1</v>
      </c>
    </row>
    <row r="66">
      <c r="B66" s="72" t="s">
        <v>1363</v>
      </c>
      <c r="C66" s="75" t="s">
        <v>1862</v>
      </c>
      <c r="D66" s="120" t="s">
        <v>1567</v>
      </c>
      <c r="E66" s="103" t="str">
        <f>HYPERLINK("https://youtu.be/4GmXls0uic8","channel 2")</f>
        <v>channel 2</v>
      </c>
    </row>
    <row r="67">
      <c r="B67" s="42" t="s">
        <v>1931</v>
      </c>
      <c r="C67" s="3"/>
      <c r="D67" s="3"/>
      <c r="E67" s="4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1038</v>
      </c>
      <c r="C69" s="73" t="s">
        <v>1831</v>
      </c>
      <c r="D69" s="120" t="s">
        <v>1395</v>
      </c>
      <c r="E69" s="103" t="str">
        <f>HYPERLINK("https://youtu.be/X8dOIztnxT8","channel 1")</f>
        <v>channel 1</v>
      </c>
    </row>
    <row r="70">
      <c r="B70" s="72" t="s">
        <v>796</v>
      </c>
      <c r="C70" s="73" t="s">
        <v>1907</v>
      </c>
      <c r="D70" s="120" t="s">
        <v>833</v>
      </c>
      <c r="E70" s="103" t="str">
        <f>HYPERLINK("https://youtu.be/ZZ2J6bLpLfY","channel 2")</f>
        <v>channel 2</v>
      </c>
    </row>
    <row r="71">
      <c r="B71" s="72" t="s">
        <v>1328</v>
      </c>
      <c r="C71" s="73" t="s">
        <v>1826</v>
      </c>
      <c r="D71" s="120" t="s">
        <v>1038</v>
      </c>
      <c r="E71" s="103" t="str">
        <f>HYPERLINK("https://youtu.be/_xuoXcOd8Q8","channel 1")</f>
        <v>channel 1</v>
      </c>
    </row>
    <row r="72">
      <c r="B72" s="72" t="s">
        <v>796</v>
      </c>
      <c r="C72" s="73" t="s">
        <v>1824</v>
      </c>
      <c r="D72" s="120" t="s">
        <v>1395</v>
      </c>
      <c r="E72" s="103" t="str">
        <f>HYPERLINK("https://youtu.be/1j8q7o28rzU","channel 2")</f>
        <v>channel 2</v>
      </c>
    </row>
    <row r="73">
      <c r="B73" s="72" t="s">
        <v>1328</v>
      </c>
      <c r="C73" s="73" t="s">
        <v>1892</v>
      </c>
      <c r="D73" s="120" t="s">
        <v>833</v>
      </c>
      <c r="E73" s="103" t="str">
        <f>HYPERLINK("https://youtu.be/dL90UhvV0qo","channel 1")</f>
        <v>channel 1</v>
      </c>
    </row>
    <row r="74">
      <c r="B74" s="72" t="s">
        <v>796</v>
      </c>
      <c r="C74" s="73" t="s">
        <v>1847</v>
      </c>
      <c r="D74" s="120" t="s">
        <v>1038</v>
      </c>
      <c r="E74" s="103" t="str">
        <f>HYPERLINK("https://youtu.be/XRJycey7nhQ","channel 2")</f>
        <v>channel 2</v>
      </c>
    </row>
    <row r="75">
      <c r="B75" s="72" t="s">
        <v>1328</v>
      </c>
      <c r="C75" s="73" t="s">
        <v>1835</v>
      </c>
      <c r="D75" s="120" t="s">
        <v>1395</v>
      </c>
      <c r="E75" s="103" t="str">
        <f>HYPERLINK("https://youtu.be/HW9ZVKA7OY8","channel 1")</f>
        <v>channel 1</v>
      </c>
    </row>
    <row r="76">
      <c r="B76" s="72" t="s">
        <v>833</v>
      </c>
      <c r="C76" s="73" t="s">
        <v>1833</v>
      </c>
      <c r="D76" s="120" t="s">
        <v>1038</v>
      </c>
      <c r="E76" s="103" t="str">
        <f>HYPERLINK("https://youtu.be/dnbGIkFQHRw","channel 2")</f>
        <v>channel 2</v>
      </c>
    </row>
    <row r="77">
      <c r="B77" s="72" t="s">
        <v>1328</v>
      </c>
      <c r="C77" s="73" t="s">
        <v>1849</v>
      </c>
      <c r="D77" s="120" t="s">
        <v>796</v>
      </c>
      <c r="E77" s="103" t="str">
        <f>HYPERLINK("https://youtu.be/k20d2I8187A","channel 1")</f>
        <v>channel 1</v>
      </c>
    </row>
    <row r="78">
      <c r="B78" s="72" t="s">
        <v>833</v>
      </c>
      <c r="C78" s="73" t="s">
        <v>1849</v>
      </c>
      <c r="D78" s="120" t="s">
        <v>1395</v>
      </c>
      <c r="E78" s="103" t="str">
        <f>HYPERLINK("https://youtu.be/W1U-XqS5gvs","channel 2")</f>
        <v>channel 2</v>
      </c>
    </row>
    <row r="79">
      <c r="B79" s="72" t="s">
        <v>1395</v>
      </c>
      <c r="C79" s="73" t="s">
        <v>1824</v>
      </c>
      <c r="D79" s="120" t="s">
        <v>1038</v>
      </c>
      <c r="E79" s="103" t="str">
        <f>HYPERLINK("https://youtu.be/wljADqIbjK4","channel 1")</f>
        <v>channel 1</v>
      </c>
    </row>
    <row r="80">
      <c r="B80" s="72" t="s">
        <v>833</v>
      </c>
      <c r="C80" s="73" t="s">
        <v>1828</v>
      </c>
      <c r="D80" s="120" t="s">
        <v>796</v>
      </c>
      <c r="E80" s="103" t="str">
        <f>HYPERLINK("https://youtu.be/FtpMnDCU7l0","channel 2")</f>
        <v>channel 2</v>
      </c>
    </row>
    <row r="81">
      <c r="B81" s="72" t="s">
        <v>1038</v>
      </c>
      <c r="C81" s="75" t="s">
        <v>1849</v>
      </c>
      <c r="D81" s="120" t="s">
        <v>1328</v>
      </c>
      <c r="E81" s="103" t="str">
        <f>HYPERLINK("https://youtu.be/HbWgoke_krY","channel 1")</f>
        <v>channel 1</v>
      </c>
    </row>
    <row r="82">
      <c r="B82" s="72" t="s">
        <v>1395</v>
      </c>
      <c r="C82" s="75" t="s">
        <v>1824</v>
      </c>
      <c r="D82" s="120" t="s">
        <v>796</v>
      </c>
      <c r="E82" s="103" t="str">
        <f>HYPERLINK("https://youtu.be/-eaAADCp00U","channel 2")</f>
        <v>channel 2</v>
      </c>
    </row>
    <row r="83">
      <c r="B83" s="72" t="s">
        <v>833</v>
      </c>
      <c r="C83" s="75" t="s">
        <v>1891</v>
      </c>
      <c r="D83" s="120" t="s">
        <v>1328</v>
      </c>
      <c r="E83" s="103" t="str">
        <f>HYPERLINK("https://youtu.be/vzpdilNqlqM","channel 1")</f>
        <v>channel 1</v>
      </c>
    </row>
    <row r="84">
      <c r="B84" s="72" t="s">
        <v>1038</v>
      </c>
      <c r="C84" s="75" t="s">
        <v>1847</v>
      </c>
      <c r="D84" s="120" t="s">
        <v>796</v>
      </c>
      <c r="E84" s="103" t="str">
        <f>HYPERLINK("https://youtu.be/MVQrg1hhuYg","channel 2")</f>
        <v>channel 2</v>
      </c>
    </row>
    <row r="85">
      <c r="B85" s="72" t="s">
        <v>1395</v>
      </c>
      <c r="C85" s="73" t="s">
        <v>1917</v>
      </c>
      <c r="D85" s="120" t="s">
        <v>1328</v>
      </c>
      <c r="E85" s="103" t="str">
        <f>HYPERLINK("https://youtu.be/iDrqi1FPJ4c","channel 1")</f>
        <v>channel 1</v>
      </c>
    </row>
    <row r="86">
      <c r="B86" s="72" t="s">
        <v>1038</v>
      </c>
      <c r="C86" s="73" t="s">
        <v>1832</v>
      </c>
      <c r="D86" s="120" t="s">
        <v>833</v>
      </c>
      <c r="E86" s="103" t="str">
        <f>HYPERLINK("https://youtu.be/KQ2YckIsMck","channel 2")</f>
        <v>channel 2</v>
      </c>
    </row>
    <row r="87">
      <c r="B87" s="72" t="s">
        <v>796</v>
      </c>
      <c r="C87" s="75" t="s">
        <v>1896</v>
      </c>
      <c r="D87" s="120" t="s">
        <v>1328</v>
      </c>
      <c r="E87" s="103" t="str">
        <f>HYPERLINK("https://youtu.be/xY3Ka9zK5IU","channel 1")</f>
        <v>channel 1</v>
      </c>
    </row>
    <row r="88">
      <c r="B88" s="72" t="s">
        <v>1395</v>
      </c>
      <c r="C88" s="75" t="s">
        <v>1877</v>
      </c>
      <c r="D88" s="120" t="s">
        <v>833</v>
      </c>
      <c r="E88" s="103" t="str">
        <f>HYPERLINK("https://youtu.be/qE2sEkuWRwM","channel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122"/>
      <c r="D157" s="26"/>
      <c r="E157" s="29"/>
    </row>
    <row r="158">
      <c r="B158" s="29"/>
      <c r="C158" s="123"/>
      <c r="D158" s="124"/>
      <c r="E158" s="29"/>
    </row>
    <row r="159">
      <c r="B159" s="29"/>
      <c r="C159" s="125"/>
      <c r="D159" s="124"/>
      <c r="E159" s="29"/>
    </row>
    <row r="160">
      <c r="B160" s="29"/>
      <c r="C160" s="125"/>
      <c r="D160" s="124"/>
      <c r="E160" s="29"/>
    </row>
    <row r="161">
      <c r="B161" s="29"/>
      <c r="C161" s="125"/>
      <c r="D161" s="124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1653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1932</v>
      </c>
      <c r="C3" s="73" t="s">
        <v>1832</v>
      </c>
      <c r="D3" s="120" t="s">
        <v>1933</v>
      </c>
      <c r="E3" s="103" t="str">
        <f>HYPERLINK("https://youtu.be/DqDn-qr1Wqg","channel 1")</f>
        <v>channel 1</v>
      </c>
    </row>
    <row r="4">
      <c r="B4" s="72" t="s">
        <v>1934</v>
      </c>
      <c r="C4" s="73" t="s">
        <v>1830</v>
      </c>
      <c r="D4" s="120" t="s">
        <v>1677</v>
      </c>
      <c r="E4" s="103" t="str">
        <f>HYPERLINK("https://youtu.be/EWz1kZ287tY","channel 2")</f>
        <v>channel 2</v>
      </c>
    </row>
    <row r="5">
      <c r="B5" s="72" t="s">
        <v>533</v>
      </c>
      <c r="C5" s="73" t="s">
        <v>1860</v>
      </c>
      <c r="D5" s="120" t="s">
        <v>1932</v>
      </c>
      <c r="E5" s="103" t="str">
        <f>HYPERLINK("https://youtu.be/45kZPpUGU-A","channel 1")</f>
        <v>channel 1</v>
      </c>
    </row>
    <row r="6">
      <c r="B6" s="72" t="s">
        <v>1934</v>
      </c>
      <c r="C6" s="73" t="s">
        <v>1824</v>
      </c>
      <c r="D6" s="120" t="s">
        <v>1933</v>
      </c>
      <c r="E6" s="103" t="str">
        <f>HYPERLINK("https://youtu.be/lGfwzIhZ8Jg","channel 2")</f>
        <v>channel 2</v>
      </c>
    </row>
    <row r="7">
      <c r="B7" s="72" t="s">
        <v>533</v>
      </c>
      <c r="C7" s="73" t="s">
        <v>1870</v>
      </c>
      <c r="D7" s="120" t="s">
        <v>1677</v>
      </c>
      <c r="E7" s="103" t="str">
        <f>HYPERLINK("https://youtu.be/CxltBjyXpAM","channel 1")</f>
        <v>channel 1</v>
      </c>
    </row>
    <row r="8">
      <c r="B8" s="72" t="s">
        <v>1934</v>
      </c>
      <c r="C8" s="73" t="s">
        <v>1829</v>
      </c>
      <c r="D8" s="120" t="s">
        <v>1932</v>
      </c>
      <c r="E8" s="103" t="str">
        <f>HYPERLINK("https://youtu.be/4qTVFqQXaCA","channel 2")</f>
        <v>channel 2</v>
      </c>
    </row>
    <row r="9">
      <c r="B9" s="72" t="s">
        <v>533</v>
      </c>
      <c r="C9" s="73" t="s">
        <v>1861</v>
      </c>
      <c r="D9" s="120" t="s">
        <v>1933</v>
      </c>
      <c r="E9" s="103" t="str">
        <f>HYPERLINK("https://youtu.be/cjXyJXzLNRA","channel 1")</f>
        <v>channel 1</v>
      </c>
    </row>
    <row r="10">
      <c r="B10" s="72" t="s">
        <v>1677</v>
      </c>
      <c r="C10" s="73" t="s">
        <v>1834</v>
      </c>
      <c r="D10" s="120" t="s">
        <v>1932</v>
      </c>
      <c r="E10" s="103" t="str">
        <f>HYPERLINK("https://youtu.be/ZiTU59NJZec","channel 2")</f>
        <v>channel 2</v>
      </c>
    </row>
    <row r="11">
      <c r="B11" s="72" t="s">
        <v>533</v>
      </c>
      <c r="C11" s="73" t="s">
        <v>1828</v>
      </c>
      <c r="D11" s="120" t="s">
        <v>1934</v>
      </c>
      <c r="E11" s="103" t="str">
        <f>HYPERLINK("https://youtu.be/bvWlsDoIWDQ","channel 1")</f>
        <v>channel 1</v>
      </c>
    </row>
    <row r="12">
      <c r="B12" s="72" t="s">
        <v>1677</v>
      </c>
      <c r="C12" s="73" t="s">
        <v>1824</v>
      </c>
      <c r="D12" s="120" t="s">
        <v>1933</v>
      </c>
      <c r="E12" s="103" t="str">
        <f>HYPERLINK("https://youtu.be/96pIDbplpfU","channel 2")</f>
        <v>channel 2</v>
      </c>
    </row>
    <row r="13">
      <c r="B13" s="72" t="s">
        <v>1933</v>
      </c>
      <c r="C13" s="73" t="s">
        <v>1824</v>
      </c>
      <c r="D13" s="120" t="s">
        <v>1932</v>
      </c>
      <c r="E13" s="103" t="str">
        <f>HYPERLINK("https://youtu.be/C2bGtYkgLmw","channel 1")</f>
        <v>channel 1</v>
      </c>
    </row>
    <row r="14">
      <c r="B14" s="72" t="s">
        <v>1677</v>
      </c>
      <c r="C14" s="73" t="s">
        <v>1851</v>
      </c>
      <c r="D14" s="120" t="s">
        <v>1934</v>
      </c>
      <c r="E14" s="103" t="str">
        <f>HYPERLINK("https://youtu.be/eyzz4I5HYAE","channel 2")</f>
        <v>channel 2</v>
      </c>
    </row>
    <row r="15">
      <c r="B15" s="72" t="s">
        <v>1932</v>
      </c>
      <c r="C15" s="75" t="s">
        <v>1827</v>
      </c>
      <c r="D15" s="120" t="s">
        <v>533</v>
      </c>
      <c r="E15" s="103" t="str">
        <f>HYPERLINK("https://youtu.be/C2bGtYkgLmw","channel 1")</f>
        <v>channel 1</v>
      </c>
    </row>
    <row r="16">
      <c r="B16" s="72" t="s">
        <v>1933</v>
      </c>
      <c r="C16" s="75" t="s">
        <v>1833</v>
      </c>
      <c r="D16" s="120" t="s">
        <v>1934</v>
      </c>
      <c r="E16" s="103" t="str">
        <f>HYPERLINK("https://youtu.be/dmKg1axLmFg","channel 2")</f>
        <v>channel 2</v>
      </c>
    </row>
    <row r="17">
      <c r="B17" s="72" t="s">
        <v>1677</v>
      </c>
      <c r="C17" s="75" t="s">
        <v>1849</v>
      </c>
      <c r="D17" s="120" t="s">
        <v>533</v>
      </c>
      <c r="E17" s="103" t="str">
        <f>HYPERLINK("https://youtu.be/oPWY8J8amlo","channel 1")</f>
        <v>channel 1</v>
      </c>
    </row>
    <row r="18">
      <c r="B18" s="72" t="s">
        <v>1932</v>
      </c>
      <c r="C18" s="75" t="s">
        <v>1848</v>
      </c>
      <c r="D18" s="120" t="s">
        <v>1934</v>
      </c>
      <c r="E18" s="103" t="str">
        <f>HYPERLINK("https://youtu.be/2OtowFxjjNg","channel 2")</f>
        <v>channel 2</v>
      </c>
    </row>
    <row r="19">
      <c r="B19" s="72" t="s">
        <v>1933</v>
      </c>
      <c r="C19" s="73" t="s">
        <v>1840</v>
      </c>
      <c r="D19" s="120" t="s">
        <v>533</v>
      </c>
      <c r="E19" s="103" t="str">
        <f>HYPERLINK("https://youtu.be/oPWY8J8amlo","channel 1")</f>
        <v>channel 1</v>
      </c>
    </row>
    <row r="20">
      <c r="B20" s="72" t="s">
        <v>1932</v>
      </c>
      <c r="C20" s="73" t="s">
        <v>1854</v>
      </c>
      <c r="D20" s="120" t="s">
        <v>1677</v>
      </c>
      <c r="E20" s="103" t="str">
        <f>HYPERLINK("https://youtu.be/QWYzsoeji3o","channel 2")</f>
        <v>channel 2</v>
      </c>
    </row>
    <row r="21">
      <c r="B21" s="72" t="s">
        <v>1934</v>
      </c>
      <c r="C21" s="75" t="s">
        <v>1835</v>
      </c>
      <c r="D21" s="120" t="s">
        <v>533</v>
      </c>
      <c r="E21" s="103" t="str">
        <f>HYPERLINK("https://youtu.be/G1ZzM78BaFw","channel 1")</f>
        <v>channel 1</v>
      </c>
    </row>
    <row r="22">
      <c r="B22" s="72" t="s">
        <v>1933</v>
      </c>
      <c r="C22" s="75" t="s">
        <v>1849</v>
      </c>
      <c r="D22" s="120" t="s">
        <v>1677</v>
      </c>
      <c r="E22" s="103" t="str">
        <f>HYPERLINK("https://youtu.be/TnDEBCAICYo","channel 2")</f>
        <v>channel 2</v>
      </c>
    </row>
    <row r="23">
      <c r="B23" s="6" t="s">
        <v>773</v>
      </c>
      <c r="C23" s="3"/>
      <c r="D23" s="3"/>
      <c r="E23" s="4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1935</v>
      </c>
      <c r="C25" s="73" t="s">
        <v>1862</v>
      </c>
      <c r="D25" s="120" t="s">
        <v>1518</v>
      </c>
      <c r="E25" s="103" t="str">
        <f>HYPERLINK("https://youtu.be/MSz_mxz76q0","channel 1")</f>
        <v>channel 1</v>
      </c>
    </row>
    <row r="26">
      <c r="B26" s="72" t="s">
        <v>1750</v>
      </c>
      <c r="C26" s="73" t="s">
        <v>1834</v>
      </c>
      <c r="D26" s="120" t="s">
        <v>1422</v>
      </c>
      <c r="E26" s="103" t="str">
        <f>HYPERLINK("https://youtu.be/Xb_8Q5IUrpA","channel 2")</f>
        <v>channel 2</v>
      </c>
    </row>
    <row r="27">
      <c r="B27" s="72" t="s">
        <v>16</v>
      </c>
      <c r="C27" s="73" t="s">
        <v>1833</v>
      </c>
      <c r="D27" s="120" t="s">
        <v>1935</v>
      </c>
      <c r="E27" s="103" t="str">
        <f>HYPERLINK("https://youtu.be/F7SMcuDp6iM","channel 1")</f>
        <v>channel 1</v>
      </c>
    </row>
    <row r="28">
      <c r="B28" s="72" t="s">
        <v>1750</v>
      </c>
      <c r="C28" s="73" t="s">
        <v>1827</v>
      </c>
      <c r="D28" s="120" t="s">
        <v>1518</v>
      </c>
      <c r="E28" s="103" t="str">
        <f>HYPERLINK("https://youtu.be/q1cIRZigtJU","channel 2")</f>
        <v>channel 2</v>
      </c>
    </row>
    <row r="29">
      <c r="B29" s="72" t="s">
        <v>16</v>
      </c>
      <c r="C29" s="73" t="s">
        <v>1832</v>
      </c>
      <c r="D29" s="120" t="s">
        <v>1422</v>
      </c>
      <c r="E29" s="103" t="str">
        <f>HYPERLINK("https://youtu.be/TFeRgJaz85M","channel 1")</f>
        <v>channel 1</v>
      </c>
    </row>
    <row r="30">
      <c r="B30" s="72" t="s">
        <v>1750</v>
      </c>
      <c r="C30" s="73" t="s">
        <v>1936</v>
      </c>
      <c r="D30" s="120" t="s">
        <v>1935</v>
      </c>
      <c r="E30" s="103" t="str">
        <f>HYPERLINK("https://youtu.be/oPWm2fX4P7M","channel 2")</f>
        <v>channel 2</v>
      </c>
    </row>
    <row r="31">
      <c r="B31" s="72" t="s">
        <v>16</v>
      </c>
      <c r="C31" s="73" t="s">
        <v>1845</v>
      </c>
      <c r="D31" s="120" t="s">
        <v>1518</v>
      </c>
      <c r="E31" s="103" t="str">
        <f>HYPERLINK("https://youtu.be/kdV73y4tP7s","channel 1")</f>
        <v>channel 1</v>
      </c>
    </row>
    <row r="32">
      <c r="B32" s="72" t="s">
        <v>1422</v>
      </c>
      <c r="C32" s="73" t="s">
        <v>1831</v>
      </c>
      <c r="D32" s="120" t="s">
        <v>1935</v>
      </c>
      <c r="E32" s="103" t="str">
        <f>HYPERLINK("https://youtu.be/zNFo9V4Bqcs","channel 2")</f>
        <v>channel 2</v>
      </c>
    </row>
    <row r="33">
      <c r="B33" s="72" t="s">
        <v>16</v>
      </c>
      <c r="C33" s="73" t="s">
        <v>1831</v>
      </c>
      <c r="D33" s="120" t="s">
        <v>1750</v>
      </c>
      <c r="E33" s="103" t="str">
        <f>HYPERLINK("https://youtu.be/VZ7Dh7N6CA8","channel 1")</f>
        <v>channel 1</v>
      </c>
    </row>
    <row r="34">
      <c r="B34" s="72" t="s">
        <v>1422</v>
      </c>
      <c r="C34" s="73" t="s">
        <v>1827</v>
      </c>
      <c r="D34" s="120" t="s">
        <v>1518</v>
      </c>
      <c r="E34" s="103" t="str">
        <f>HYPERLINK("https://youtu.be/L6WjIb6rI24","channel 2")</f>
        <v>channel 2</v>
      </c>
    </row>
    <row r="35">
      <c r="B35" s="72" t="s">
        <v>1518</v>
      </c>
      <c r="C35" s="73" t="s">
        <v>1854</v>
      </c>
      <c r="D35" s="120" t="s">
        <v>1935</v>
      </c>
      <c r="E35" s="103" t="str">
        <f>HYPERLINK("https://youtu.be/JmtQn1YrcYY","channel 1")</f>
        <v>channel 1</v>
      </c>
    </row>
    <row r="36">
      <c r="B36" s="72" t="s">
        <v>1422</v>
      </c>
      <c r="C36" s="73" t="s">
        <v>1837</v>
      </c>
      <c r="D36" s="120" t="s">
        <v>1750</v>
      </c>
      <c r="E36" s="103" t="str">
        <f>HYPERLINK("https://youtu.be/6FbHEvpOXPw","channel 2")</f>
        <v>channel 2</v>
      </c>
    </row>
    <row r="37">
      <c r="B37" s="72" t="s">
        <v>1935</v>
      </c>
      <c r="C37" s="75" t="s">
        <v>1837</v>
      </c>
      <c r="D37" s="120" t="s">
        <v>16</v>
      </c>
      <c r="E37" s="103" t="str">
        <f>HYPERLINK("https://youtu.be/R_U-WQXC8lw","channel 1")</f>
        <v>channel 1</v>
      </c>
    </row>
    <row r="38">
      <c r="B38" s="72" t="s">
        <v>1518</v>
      </c>
      <c r="C38" s="75" t="s">
        <v>1917</v>
      </c>
      <c r="D38" s="120" t="s">
        <v>1750</v>
      </c>
      <c r="E38" s="111" t="s">
        <v>28</v>
      </c>
    </row>
    <row r="39">
      <c r="B39" s="72" t="s">
        <v>1422</v>
      </c>
      <c r="C39" s="75" t="s">
        <v>1849</v>
      </c>
      <c r="D39" s="120" t="s">
        <v>16</v>
      </c>
      <c r="E39" s="103" t="str">
        <f>HYPERLINK("https://youtu.be/foR5jLmS5x4","channel 1")</f>
        <v>channel 1</v>
      </c>
    </row>
    <row r="40">
      <c r="B40" s="72" t="s">
        <v>1935</v>
      </c>
      <c r="C40" s="75" t="s">
        <v>1851</v>
      </c>
      <c r="D40" s="120" t="s">
        <v>1750</v>
      </c>
      <c r="E40" s="111" t="s">
        <v>28</v>
      </c>
    </row>
    <row r="41">
      <c r="B41" s="72" t="s">
        <v>1518</v>
      </c>
      <c r="C41" s="73" t="s">
        <v>1847</v>
      </c>
      <c r="D41" s="120" t="s">
        <v>16</v>
      </c>
      <c r="E41" s="103" t="str">
        <f>HYPERLINK("https://youtu.be/4SsiW7zzq4Y","channel 1")</f>
        <v>channel 1</v>
      </c>
    </row>
    <row r="42">
      <c r="B42" s="72" t="s">
        <v>1935</v>
      </c>
      <c r="C42" s="73" t="s">
        <v>1841</v>
      </c>
      <c r="D42" s="120" t="s">
        <v>1422</v>
      </c>
      <c r="E42" s="111" t="s">
        <v>28</v>
      </c>
    </row>
    <row r="43">
      <c r="B43" s="72" t="s">
        <v>1750</v>
      </c>
      <c r="C43" s="75" t="s">
        <v>1829</v>
      </c>
      <c r="D43" s="120" t="s">
        <v>16</v>
      </c>
      <c r="E43" s="103" t="str">
        <f>HYPERLINK("https://youtu.be/PJNRKk17oAw","channel 1")</f>
        <v>channel 1</v>
      </c>
    </row>
    <row r="44">
      <c r="B44" s="72" t="s">
        <v>1518</v>
      </c>
      <c r="C44" s="75" t="s">
        <v>1849</v>
      </c>
      <c r="D44" s="120" t="s">
        <v>1422</v>
      </c>
      <c r="E44" s="111" t="s">
        <v>28</v>
      </c>
    </row>
    <row r="45">
      <c r="B45" s="121" t="s">
        <v>971</v>
      </c>
      <c r="C45" s="3"/>
      <c r="D45" s="3"/>
      <c r="E45" s="4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1232</v>
      </c>
      <c r="C47" s="73" t="s">
        <v>1834</v>
      </c>
      <c r="D47" s="120" t="s">
        <v>1440</v>
      </c>
      <c r="E47" s="103" t="str">
        <f>HYPERLINK("https://youtu.be/248gP8_Hd6k","channel 1")</f>
        <v>channel 1</v>
      </c>
    </row>
    <row r="48">
      <c r="B48" s="72" t="s">
        <v>1675</v>
      </c>
      <c r="C48" s="73" t="s">
        <v>1841</v>
      </c>
      <c r="D48" s="120" t="s">
        <v>1937</v>
      </c>
      <c r="E48" s="103" t="str">
        <f>HYPERLINK("https://youtu.be/PEr4Tvb1Mww","channel 2")</f>
        <v>channel 2</v>
      </c>
    </row>
    <row r="49">
      <c r="B49" s="72" t="s">
        <v>1915</v>
      </c>
      <c r="C49" s="73" t="s">
        <v>1835</v>
      </c>
      <c r="D49" s="120" t="s">
        <v>1232</v>
      </c>
      <c r="E49" s="103" t="str">
        <f>HYPERLINK("https://youtu.be/SMeuumD_dO0","channel 1")</f>
        <v>channel 1</v>
      </c>
    </row>
    <row r="50">
      <c r="B50" s="72" t="s">
        <v>1675</v>
      </c>
      <c r="C50" s="73" t="s">
        <v>1845</v>
      </c>
      <c r="D50" s="120" t="s">
        <v>1440</v>
      </c>
      <c r="E50" s="103" t="str">
        <f>HYPERLINK("https://youtu.be/fizQMgMzkZE","channel 2")</f>
        <v>channel 2</v>
      </c>
    </row>
    <row r="51">
      <c r="B51" s="72" t="s">
        <v>1915</v>
      </c>
      <c r="C51" s="73" t="s">
        <v>1826</v>
      </c>
      <c r="D51" s="120" t="s">
        <v>1937</v>
      </c>
      <c r="E51" s="103" t="str">
        <f>HYPERLINK("https://youtu.be/Xoaa9Bi1uC8","channel 1")</f>
        <v>channel 1</v>
      </c>
    </row>
    <row r="52">
      <c r="B52" s="72" t="s">
        <v>1675</v>
      </c>
      <c r="C52" s="73" t="s">
        <v>1845</v>
      </c>
      <c r="D52" s="120" t="s">
        <v>1232</v>
      </c>
      <c r="E52" s="103" t="str">
        <f>HYPERLINK("https://youtu.be/Xoaa9Bi1uC8","channel 2")</f>
        <v>channel 2</v>
      </c>
    </row>
    <row r="53">
      <c r="B53" s="72" t="s">
        <v>1915</v>
      </c>
      <c r="C53" s="73" t="s">
        <v>1833</v>
      </c>
      <c r="D53" s="120" t="s">
        <v>1440</v>
      </c>
      <c r="E53" s="103" t="str">
        <f>HYPERLINK("https://youtu.be/AMrqiJnnRMs","channel 1")</f>
        <v>channel 1</v>
      </c>
    </row>
    <row r="54">
      <c r="B54" s="72" t="s">
        <v>1937</v>
      </c>
      <c r="C54" s="73" t="s">
        <v>1854</v>
      </c>
      <c r="D54" s="120" t="s">
        <v>1232</v>
      </c>
      <c r="E54" s="103" t="str">
        <f>HYPERLINK("https://youtu.be/3tp7gHSc80M","channel 2")</f>
        <v>channel 2</v>
      </c>
    </row>
    <row r="55">
      <c r="B55" s="72" t="s">
        <v>1915</v>
      </c>
      <c r="C55" s="73" t="s">
        <v>1840</v>
      </c>
      <c r="D55" s="120" t="s">
        <v>1675</v>
      </c>
      <c r="E55" s="103" t="str">
        <f>HYPERLINK("https://youtu.be/Ugvb55jHgZ8","channel 1")</f>
        <v>channel 1</v>
      </c>
    </row>
    <row r="56">
      <c r="B56" s="72" t="s">
        <v>1937</v>
      </c>
      <c r="C56" s="73" t="s">
        <v>1834</v>
      </c>
      <c r="D56" s="120" t="s">
        <v>1440</v>
      </c>
      <c r="E56" s="103" t="str">
        <f>HYPERLINK("https://youtu.be/68Box9v0djg","channel 2")</f>
        <v>channel 2</v>
      </c>
      <c r="F56" s="113"/>
    </row>
    <row r="57">
      <c r="B57" s="72" t="s">
        <v>1440</v>
      </c>
      <c r="C57" s="73" t="s">
        <v>1847</v>
      </c>
      <c r="D57" s="120" t="s">
        <v>1232</v>
      </c>
      <c r="E57" s="103" t="str">
        <f>HYPERLINK("https://youtu.be/Rsy1dSrdodo","channel 1")</f>
        <v>channel 1</v>
      </c>
      <c r="G57" s="114"/>
    </row>
    <row r="58">
      <c r="B58" s="72" t="s">
        <v>1937</v>
      </c>
      <c r="C58" s="73" t="s">
        <v>1853</v>
      </c>
      <c r="D58" s="120" t="s">
        <v>1675</v>
      </c>
      <c r="E58" s="111" t="s">
        <v>28</v>
      </c>
    </row>
    <row r="59">
      <c r="B59" s="72" t="s">
        <v>1232</v>
      </c>
      <c r="C59" s="75" t="s">
        <v>1831</v>
      </c>
      <c r="D59" s="120" t="s">
        <v>1915</v>
      </c>
      <c r="E59" s="103" t="str">
        <f>HYPERLINK("https://youtu.be/Ngg9R0VkStc","channel 1")</f>
        <v>channel 1</v>
      </c>
    </row>
    <row r="60">
      <c r="B60" s="72" t="s">
        <v>1440</v>
      </c>
      <c r="C60" s="75" t="s">
        <v>1849</v>
      </c>
      <c r="D60" s="120" t="s">
        <v>1675</v>
      </c>
      <c r="E60" s="103" t="str">
        <f>HYPERLINK("https://youtu.be/FD35J8xCggg","channel 2")</f>
        <v>channel 2</v>
      </c>
    </row>
    <row r="61">
      <c r="B61" s="72" t="s">
        <v>1937</v>
      </c>
      <c r="C61" s="75" t="s">
        <v>1824</v>
      </c>
      <c r="D61" s="120" t="s">
        <v>1915</v>
      </c>
      <c r="E61" s="103" t="str">
        <f>HYPERLINK("https://youtu.be/GQgIRaDKhQc","channel 1")</f>
        <v>channel 1</v>
      </c>
    </row>
    <row r="62">
      <c r="B62" s="72" t="s">
        <v>1232</v>
      </c>
      <c r="C62" s="75" t="s">
        <v>1831</v>
      </c>
      <c r="D62" s="120" t="s">
        <v>1675</v>
      </c>
      <c r="E62" s="103" t="str">
        <f>HYPERLINK("https://youtu.be/EFXTn5IhBPg","channel 2")</f>
        <v>channel 2</v>
      </c>
    </row>
    <row r="63">
      <c r="B63" s="72" t="s">
        <v>1440</v>
      </c>
      <c r="C63" s="73" t="s">
        <v>1870</v>
      </c>
      <c r="D63" s="120" t="s">
        <v>1915</v>
      </c>
      <c r="E63" s="103" t="str">
        <f>HYPERLINK("https://youtu.be/Wc45vQAbofk","channel 1")</f>
        <v>channel 1</v>
      </c>
    </row>
    <row r="64">
      <c r="B64" s="72" t="s">
        <v>1232</v>
      </c>
      <c r="C64" s="73" t="s">
        <v>1834</v>
      </c>
      <c r="D64" s="120" t="s">
        <v>1937</v>
      </c>
      <c r="E64" s="103" t="str">
        <f>HYPERLINK("https://youtu.be/OLiCRnc7qJU","channel 2")</f>
        <v>channel 2</v>
      </c>
    </row>
    <row r="65">
      <c r="B65" s="72" t="s">
        <v>1675</v>
      </c>
      <c r="C65" s="75" t="s">
        <v>1848</v>
      </c>
      <c r="D65" s="120" t="s">
        <v>1915</v>
      </c>
      <c r="E65" s="103" t="str">
        <f>HYPERLINK("https://youtu.be/HOhX_NF_AU0","channel 1")</f>
        <v>channel 1</v>
      </c>
    </row>
    <row r="66">
      <c r="B66" s="72" t="s">
        <v>1440</v>
      </c>
      <c r="C66" s="75" t="s">
        <v>1840</v>
      </c>
      <c r="D66" s="120" t="s">
        <v>1937</v>
      </c>
      <c r="E66" s="103" t="str">
        <f>HYPERLINK("https://youtu.be/rjfX-sWHQ7Q","channel 2")</f>
        <v>channel 2</v>
      </c>
    </row>
    <row r="67">
      <c r="B67" s="121" t="s">
        <v>1938</v>
      </c>
      <c r="C67" s="3"/>
      <c r="D67" s="3"/>
      <c r="E67" s="4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1939</v>
      </c>
      <c r="C69" s="73" t="s">
        <v>1870</v>
      </c>
      <c r="D69" s="120" t="s">
        <v>1940</v>
      </c>
      <c r="E69" s="103" t="str">
        <f>HYPERLINK("https://youtu.be/CK3JgNqoD0A","channel 1")</f>
        <v>channel 1</v>
      </c>
    </row>
    <row r="70">
      <c r="B70" s="72" t="s">
        <v>1879</v>
      </c>
      <c r="C70" s="73" t="s">
        <v>1840</v>
      </c>
      <c r="D70" s="120" t="s">
        <v>667</v>
      </c>
      <c r="E70" s="103" t="str">
        <f>HYPERLINK("https://youtu.be/vA4EuTZid_Y","channel 2")</f>
        <v>channel 2</v>
      </c>
    </row>
    <row r="71">
      <c r="B71" s="72" t="s">
        <v>768</v>
      </c>
      <c r="C71" s="73" t="s">
        <v>1870</v>
      </c>
      <c r="D71" s="120" t="s">
        <v>1939</v>
      </c>
      <c r="E71" s="103" t="str">
        <f>HYPERLINK("https://youtu.be/KQut-BqBaoQ","channel 1")</f>
        <v>channel 1</v>
      </c>
    </row>
    <row r="72">
      <c r="B72" s="72" t="s">
        <v>1879</v>
      </c>
      <c r="C72" s="73" t="s">
        <v>1837</v>
      </c>
      <c r="D72" s="120" t="s">
        <v>1940</v>
      </c>
      <c r="E72" s="103" t="str">
        <f>HYPERLINK("https://youtu.be/GAJegcncwbA","channel 2")</f>
        <v>channel 2</v>
      </c>
    </row>
    <row r="73">
      <c r="B73" s="72" t="s">
        <v>768</v>
      </c>
      <c r="C73" s="73" t="s">
        <v>1832</v>
      </c>
      <c r="D73" s="120" t="s">
        <v>667</v>
      </c>
      <c r="E73" s="103" t="str">
        <f>HYPERLINK("https://youtu.be/pXQ93BNQtYU","channel 1")</f>
        <v>channel 1</v>
      </c>
    </row>
    <row r="74">
      <c r="B74" s="72" t="s">
        <v>1879</v>
      </c>
      <c r="C74" s="73" t="s">
        <v>1837</v>
      </c>
      <c r="D74" s="120" t="s">
        <v>1939</v>
      </c>
      <c r="E74" s="103" t="str">
        <f>HYPERLINK("https://youtu.be/hU6FJxVBHME","channel 2")</f>
        <v>channel 2</v>
      </c>
    </row>
    <row r="75">
      <c r="B75" s="72" t="s">
        <v>768</v>
      </c>
      <c r="C75" s="73" t="s">
        <v>1837</v>
      </c>
      <c r="D75" s="120" t="s">
        <v>1940</v>
      </c>
      <c r="E75" s="103" t="str">
        <f>HYPERLINK("https://youtu.be/n1SxTgJL6xc","channel 1")</f>
        <v>channel 1</v>
      </c>
    </row>
    <row r="76">
      <c r="B76" s="72" t="s">
        <v>667</v>
      </c>
      <c r="C76" s="73" t="s">
        <v>1849</v>
      </c>
      <c r="D76" s="120" t="s">
        <v>1939</v>
      </c>
      <c r="E76" s="103" t="str">
        <f>HYPERLINK("https://youtu.be/ht3g4wdXkmo","channel 2")</f>
        <v>channel 2</v>
      </c>
    </row>
    <row r="77">
      <c r="B77" s="72" t="s">
        <v>768</v>
      </c>
      <c r="C77" s="73" t="s">
        <v>1849</v>
      </c>
      <c r="D77" s="120" t="s">
        <v>1879</v>
      </c>
      <c r="E77" s="103" t="str">
        <f>HYPERLINK("https://youtu.be/xAbqG5BkYYQ","channel 1")</f>
        <v>channel 1</v>
      </c>
    </row>
    <row r="78">
      <c r="B78" s="72" t="s">
        <v>667</v>
      </c>
      <c r="C78" s="73" t="s">
        <v>1849</v>
      </c>
      <c r="D78" s="120" t="s">
        <v>1940</v>
      </c>
      <c r="E78" s="103" t="str">
        <f>HYPERLINK("https://youtu.be/VqGAP_4XajM","channel 2")</f>
        <v>channel 2</v>
      </c>
    </row>
    <row r="79">
      <c r="B79" s="72" t="s">
        <v>1940</v>
      </c>
      <c r="C79" s="73" t="s">
        <v>1827</v>
      </c>
      <c r="D79" s="120" t="s">
        <v>1939</v>
      </c>
      <c r="E79" s="103" t="str">
        <f>HYPERLINK("https://youtu.be/iP1Q-s1Yxik","channel 1")</f>
        <v>channel 1</v>
      </c>
    </row>
    <row r="80">
      <c r="B80" s="72" t="s">
        <v>667</v>
      </c>
      <c r="C80" s="73" t="s">
        <v>1834</v>
      </c>
      <c r="D80" s="120" t="s">
        <v>1879</v>
      </c>
      <c r="E80" s="103" t="str">
        <f>HYPERLINK("https://youtu.be/VqGAP_4XajM","channel 2")</f>
        <v>channel 2</v>
      </c>
    </row>
    <row r="81">
      <c r="B81" s="72" t="s">
        <v>1939</v>
      </c>
      <c r="C81" s="75" t="s">
        <v>1849</v>
      </c>
      <c r="D81" s="120" t="s">
        <v>768</v>
      </c>
      <c r="E81" s="103" t="str">
        <f>HYPERLINK("https://youtu.be/FoE4-U-yjzs","channel 1")</f>
        <v>channel 1</v>
      </c>
    </row>
    <row r="82">
      <c r="B82" s="72" t="s">
        <v>1940</v>
      </c>
      <c r="C82" s="75" t="s">
        <v>1829</v>
      </c>
      <c r="D82" s="120" t="s">
        <v>1879</v>
      </c>
      <c r="E82" s="103" t="str">
        <f>HYPERLINK("https://youtu.be/mooGnG1vSL8","channel 2")</f>
        <v>channel 2</v>
      </c>
    </row>
    <row r="83">
      <c r="B83" s="72" t="s">
        <v>667</v>
      </c>
      <c r="C83" s="75" t="s">
        <v>1851</v>
      </c>
      <c r="D83" s="120" t="s">
        <v>768</v>
      </c>
      <c r="E83" s="103" t="str">
        <f>HYPERLINK("https://youtu.be/H_qhbMbyE_8","channel 1")</f>
        <v>channel 1</v>
      </c>
    </row>
    <row r="84">
      <c r="B84" s="72" t="s">
        <v>1939</v>
      </c>
      <c r="C84" s="75" t="s">
        <v>1834</v>
      </c>
      <c r="D84" s="120" t="s">
        <v>1879</v>
      </c>
      <c r="E84" s="103" t="str">
        <f>HYPERLINK("https://youtu.be/TDOrJq-wMD4","channel 2")</f>
        <v>channel 2</v>
      </c>
    </row>
    <row r="85">
      <c r="B85" s="72" t="s">
        <v>1940</v>
      </c>
      <c r="C85" s="73" t="s">
        <v>1827</v>
      </c>
      <c r="D85" s="120" t="s">
        <v>768</v>
      </c>
      <c r="E85" s="103" t="str">
        <f>HYPERLINK("https://youtu.be/WT13_hVWerM","channel 1")</f>
        <v>channel 1</v>
      </c>
    </row>
    <row r="86">
      <c r="B86" s="72" t="s">
        <v>1939</v>
      </c>
      <c r="C86" s="73" t="s">
        <v>1901</v>
      </c>
      <c r="D86" s="120" t="s">
        <v>667</v>
      </c>
      <c r="E86" s="103" t="str">
        <f>HYPERLINK("https://youtu.be/9LNEbd-xCLE","channel 2")</f>
        <v>channel 2</v>
      </c>
    </row>
    <row r="87">
      <c r="B87" s="72" t="s">
        <v>1879</v>
      </c>
      <c r="C87" s="75" t="s">
        <v>1845</v>
      </c>
      <c r="D87" s="120" t="s">
        <v>768</v>
      </c>
      <c r="E87" s="103" t="str">
        <f>HYPERLINK("https://youtu.be/_V4xY1aA5sU","channel 1")</f>
        <v>channel 1</v>
      </c>
    </row>
    <row r="88">
      <c r="B88" s="72" t="s">
        <v>1940</v>
      </c>
      <c r="C88" s="75" t="s">
        <v>1891</v>
      </c>
      <c r="D88" s="120" t="s">
        <v>667</v>
      </c>
      <c r="E88" s="103" t="str">
        <f>HYPERLINK("https://youtu.be/s7vfxC0eQEQ","channel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1655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1442</v>
      </c>
      <c r="C3" s="73" t="s">
        <v>1833</v>
      </c>
      <c r="D3" s="74" t="s">
        <v>1106</v>
      </c>
      <c r="E3" s="103" t="str">
        <f>HYPERLINK("https://youtu.be/qpJS0dFpK7c","channel 1")</f>
        <v>channel 1</v>
      </c>
    </row>
    <row r="4">
      <c r="B4" s="72" t="s">
        <v>565</v>
      </c>
      <c r="C4" s="73" t="s">
        <v>1824</v>
      </c>
      <c r="D4" s="74" t="s">
        <v>1941</v>
      </c>
      <c r="E4" s="103" t="str">
        <f>HYPERLINK("https://youtu.be/lqtU2rD-fN4","channel 2")</f>
        <v>channel 2</v>
      </c>
    </row>
    <row r="5">
      <c r="B5" s="72" t="s">
        <v>1442</v>
      </c>
      <c r="C5" s="73" t="s">
        <v>1845</v>
      </c>
      <c r="D5" s="74" t="s">
        <v>1941</v>
      </c>
      <c r="E5" s="103" t="str">
        <f>HYPERLINK("https://youtu.be/8WriBcaBr3I","channel 1")</f>
        <v>channel 1</v>
      </c>
    </row>
    <row r="6">
      <c r="B6" s="72" t="s">
        <v>209</v>
      </c>
      <c r="C6" s="73" t="s">
        <v>1840</v>
      </c>
      <c r="D6" s="74" t="s">
        <v>1106</v>
      </c>
      <c r="E6" s="103" t="str">
        <f>HYPERLINK("https://youtu.be/t0ChF1R020I","channel 2")</f>
        <v>channel 2</v>
      </c>
    </row>
    <row r="7">
      <c r="B7" s="72" t="s">
        <v>1442</v>
      </c>
      <c r="C7" s="73" t="s">
        <v>1853</v>
      </c>
      <c r="D7" s="74" t="s">
        <v>565</v>
      </c>
      <c r="E7" s="103" t="str">
        <f>HYPERLINK("https://youtu.be/2WQtM-qELl0","channel 1")</f>
        <v>channel 1</v>
      </c>
    </row>
    <row r="8">
      <c r="B8" s="72" t="s">
        <v>209</v>
      </c>
      <c r="C8" s="73" t="s">
        <v>1835</v>
      </c>
      <c r="D8" s="74" t="s">
        <v>1941</v>
      </c>
      <c r="E8" s="103" t="str">
        <f>HYPERLINK("https://youtu.be/SHnozM1Rc_0","channel 2")</f>
        <v>channel 2</v>
      </c>
    </row>
    <row r="9">
      <c r="B9" s="10" t="s">
        <v>1941</v>
      </c>
      <c r="C9" s="70" t="s">
        <v>1824</v>
      </c>
      <c r="D9" s="71" t="s">
        <v>1106</v>
      </c>
      <c r="E9" s="103" t="str">
        <f>HYPERLINK("https://youtu.be/2WQtM-qELl0","channel 1")</f>
        <v>channel 1</v>
      </c>
    </row>
    <row r="10">
      <c r="B10" s="72" t="s">
        <v>209</v>
      </c>
      <c r="C10" s="73" t="s">
        <v>1845</v>
      </c>
      <c r="D10" s="74" t="s">
        <v>565</v>
      </c>
      <c r="E10" s="103" t="str">
        <f>HYPERLINK("https://youtu.be/QbxMc7LZmDw","channel 2")</f>
        <v>channel 2</v>
      </c>
    </row>
    <row r="11">
      <c r="B11" s="72" t="s">
        <v>1442</v>
      </c>
      <c r="C11" s="73" t="s">
        <v>1854</v>
      </c>
      <c r="D11" s="74" t="s">
        <v>209</v>
      </c>
      <c r="E11" s="103" t="str">
        <f>HYPERLINK("https://youtu.be/ZkTAOQxLfKQ","channel 1")</f>
        <v>channel 1</v>
      </c>
    </row>
    <row r="12">
      <c r="B12" s="72" t="s">
        <v>565</v>
      </c>
      <c r="C12" s="73" t="s">
        <v>1845</v>
      </c>
      <c r="D12" s="74" t="s">
        <v>1106</v>
      </c>
      <c r="E12" s="103" t="str">
        <f>HYPERLINK("https://youtu.be/fKC7vkxInIk","channel 2")</f>
        <v>channel 2</v>
      </c>
    </row>
    <row r="13">
      <c r="B13" s="72" t="s">
        <v>1106</v>
      </c>
      <c r="C13" s="75" t="s">
        <v>1834</v>
      </c>
      <c r="D13" s="74" t="s">
        <v>1442</v>
      </c>
      <c r="E13" s="103" t="str">
        <f>HYPERLINK("https://youtu.be/FJ1u_M4hTCQ","channel 1")</f>
        <v>channel 1</v>
      </c>
    </row>
    <row r="14">
      <c r="B14" s="72" t="s">
        <v>1941</v>
      </c>
      <c r="C14" s="75" t="s">
        <v>1853</v>
      </c>
      <c r="D14" s="74" t="s">
        <v>565</v>
      </c>
      <c r="E14" s="103" t="str">
        <f>HYPERLINK("https://youtu.be/FmXOdCj9wA4","channel 2")</f>
        <v>channel 2</v>
      </c>
    </row>
    <row r="15">
      <c r="B15" s="72" t="s">
        <v>1941</v>
      </c>
      <c r="C15" s="75" t="s">
        <v>1872</v>
      </c>
      <c r="D15" s="74" t="s">
        <v>1442</v>
      </c>
      <c r="E15" s="103" t="str">
        <f>HYPERLINK("https://youtu.be/FJ1u_M4hTCQ","channel 1")</f>
        <v>channel 1</v>
      </c>
    </row>
    <row r="16">
      <c r="B16" s="72" t="s">
        <v>1106</v>
      </c>
      <c r="C16" s="75" t="s">
        <v>1851</v>
      </c>
      <c r="D16" s="74" t="s">
        <v>209</v>
      </c>
      <c r="E16" s="103" t="str">
        <f>HYPERLINK("https://youtu.be/gs6JE4XGngk","channel 2")</f>
        <v>channel 2</v>
      </c>
    </row>
    <row r="17">
      <c r="B17" s="72" t="s">
        <v>565</v>
      </c>
      <c r="C17" s="75" t="s">
        <v>1827</v>
      </c>
      <c r="D17" s="74" t="s">
        <v>1442</v>
      </c>
      <c r="E17" s="103" t="str">
        <f>HYPERLINK("https://youtu.be/iWDZgsOr8VA","channel 1")</f>
        <v>channel 1</v>
      </c>
    </row>
    <row r="18">
      <c r="B18" s="72" t="s">
        <v>1941</v>
      </c>
      <c r="C18" s="75" t="s">
        <v>1840</v>
      </c>
      <c r="D18" s="74" t="s">
        <v>209</v>
      </c>
      <c r="E18" s="80" t="s">
        <v>28</v>
      </c>
    </row>
    <row r="19">
      <c r="B19" s="72" t="s">
        <v>1106</v>
      </c>
      <c r="C19" s="73" t="s">
        <v>1834</v>
      </c>
      <c r="D19" s="74" t="s">
        <v>1941</v>
      </c>
      <c r="E19" s="103" t="str">
        <f>HYPERLINK("https://youtu.be/iWDZgsOr8VA","channel 1")</f>
        <v>channel 1</v>
      </c>
    </row>
    <row r="20">
      <c r="B20" s="72" t="s">
        <v>565</v>
      </c>
      <c r="C20" s="73" t="s">
        <v>1845</v>
      </c>
      <c r="D20" s="74" t="s">
        <v>209</v>
      </c>
      <c r="E20" s="103" t="str">
        <f>HYPERLINK("https://youtu.be/uARVxEc-LhA","channel 2")</f>
        <v>channel 2</v>
      </c>
    </row>
    <row r="21">
      <c r="B21" s="72" t="s">
        <v>209</v>
      </c>
      <c r="C21" s="75" t="s">
        <v>1845</v>
      </c>
      <c r="D21" s="74" t="s">
        <v>1442</v>
      </c>
      <c r="E21" s="103" t="str">
        <f>HYPERLINK("https://youtu.be/iWDZgsOr8VA","channel 1")</f>
        <v>channel 1</v>
      </c>
    </row>
    <row r="22">
      <c r="B22" s="72" t="s">
        <v>1106</v>
      </c>
      <c r="C22" s="75" t="s">
        <v>1845</v>
      </c>
      <c r="D22" s="74" t="s">
        <v>565</v>
      </c>
      <c r="E22" s="103" t="str">
        <f>HYPERLINK("https://youtu.be/Y7dNiirBiBM","channel 2")</f>
        <v>channel 2</v>
      </c>
    </row>
    <row r="23">
      <c r="B23" s="2" t="s">
        <v>1343</v>
      </c>
      <c r="C23" s="3"/>
      <c r="D23" s="4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667</v>
      </c>
      <c r="C25" s="73" t="s">
        <v>1849</v>
      </c>
      <c r="D25" s="74" t="s">
        <v>972</v>
      </c>
      <c r="E25" s="103" t="str">
        <f>HYPERLINK("https://youtu.be/cJb6ip4zdZw","channel 1")</f>
        <v>channel 1</v>
      </c>
    </row>
    <row r="26">
      <c r="B26" s="72" t="s">
        <v>1365</v>
      </c>
      <c r="C26" s="73" t="s">
        <v>1827</v>
      </c>
      <c r="D26" s="74" t="s">
        <v>968</v>
      </c>
      <c r="E26" s="103" t="str">
        <f>HYPERLINK("https://youtu.be/msnDqhP4ptU","channel 2")</f>
        <v>channel 2</v>
      </c>
    </row>
    <row r="27">
      <c r="B27" s="72" t="s">
        <v>1482</v>
      </c>
      <c r="C27" s="73" t="s">
        <v>1828</v>
      </c>
      <c r="D27" s="74" t="s">
        <v>667</v>
      </c>
      <c r="E27" s="103" t="str">
        <f>HYPERLINK("https://youtu.be/MMgqI8XjGgY","channel 1")</f>
        <v>channel 1</v>
      </c>
    </row>
    <row r="28">
      <c r="B28" s="72" t="s">
        <v>1365</v>
      </c>
      <c r="C28" s="73" t="s">
        <v>1829</v>
      </c>
      <c r="D28" s="74" t="s">
        <v>972</v>
      </c>
      <c r="E28" s="103" t="str">
        <f>HYPERLINK("https://youtu.be/GGNkRtg1Yvw","channel 2")</f>
        <v>channel 2</v>
      </c>
    </row>
    <row r="29">
      <c r="B29" s="72" t="s">
        <v>1482</v>
      </c>
      <c r="C29" s="73" t="s">
        <v>1877</v>
      </c>
      <c r="D29" s="74" t="s">
        <v>968</v>
      </c>
      <c r="E29" s="103" t="str">
        <f>HYPERLINK("https://youtu.be/4hkDozfsurI","channel 1")</f>
        <v>channel 1</v>
      </c>
    </row>
    <row r="30">
      <c r="B30" s="72" t="s">
        <v>1365</v>
      </c>
      <c r="C30" s="73" t="s">
        <v>1868</v>
      </c>
      <c r="D30" s="74" t="s">
        <v>667</v>
      </c>
      <c r="E30" s="103" t="str">
        <f>HYPERLINK("https://youtu.be/idn8_M9aTQ4","channel 2")</f>
        <v>channel 2</v>
      </c>
    </row>
    <row r="31">
      <c r="B31" s="72" t="s">
        <v>1482</v>
      </c>
      <c r="C31" s="73" t="s">
        <v>1829</v>
      </c>
      <c r="D31" s="74" t="s">
        <v>972</v>
      </c>
      <c r="E31" s="103" t="str">
        <f>HYPERLINK("https://youtu.be/4hkDozfsurI","channel 1")</f>
        <v>channel 1</v>
      </c>
    </row>
    <row r="32">
      <c r="B32" s="72" t="s">
        <v>968</v>
      </c>
      <c r="C32" s="73" t="s">
        <v>1850</v>
      </c>
      <c r="D32" s="74" t="s">
        <v>667</v>
      </c>
      <c r="E32" s="103" t="str">
        <f>HYPERLINK("https://youtu.be/_a0QqglySn0","channel 2")</f>
        <v>channel 2</v>
      </c>
    </row>
    <row r="33">
      <c r="B33" s="72" t="s">
        <v>1482</v>
      </c>
      <c r="C33" s="73" t="s">
        <v>1834</v>
      </c>
      <c r="D33" s="74" t="s">
        <v>1365</v>
      </c>
      <c r="E33" s="103" t="str">
        <f>HYPERLINK("https://youtu.be/4hkDozfsurI","channel 1")</f>
        <v>channel 1</v>
      </c>
    </row>
    <row r="34">
      <c r="B34" s="72" t="s">
        <v>968</v>
      </c>
      <c r="C34" s="73" t="s">
        <v>1824</v>
      </c>
      <c r="D34" s="74" t="s">
        <v>972</v>
      </c>
      <c r="E34" s="103" t="str">
        <f>HYPERLINK("https://youtu.be/4KlzK7fir44","channel 2")</f>
        <v>channel 2</v>
      </c>
    </row>
    <row r="35">
      <c r="B35" s="72" t="s">
        <v>972</v>
      </c>
      <c r="C35" s="73" t="s">
        <v>1828</v>
      </c>
      <c r="D35" s="74" t="s">
        <v>667</v>
      </c>
      <c r="E35" s="103" t="str">
        <f>HYPERLINK("https://youtu.be/iMLGwzTtAxw","channel 1")</f>
        <v>channel 1</v>
      </c>
    </row>
    <row r="36">
      <c r="B36" s="72" t="s">
        <v>968</v>
      </c>
      <c r="C36" s="73" t="s">
        <v>1870</v>
      </c>
      <c r="D36" s="74" t="s">
        <v>1365</v>
      </c>
      <c r="E36" s="103" t="str">
        <f>HYPERLINK("https://youtu.be/3LPDVNLNJuE","channel 2")</f>
        <v>channel 2</v>
      </c>
    </row>
    <row r="37">
      <c r="B37" s="72" t="s">
        <v>667</v>
      </c>
      <c r="C37" s="75" t="s">
        <v>1827</v>
      </c>
      <c r="D37" s="74" t="s">
        <v>1482</v>
      </c>
      <c r="E37" s="103" t="str">
        <f>HYPERLINK("https://youtu.be/iMLGwzTtAxw","channel 1")</f>
        <v>channel 1</v>
      </c>
    </row>
    <row r="38">
      <c r="B38" s="72" t="s">
        <v>972</v>
      </c>
      <c r="C38" s="126" t="s">
        <v>58</v>
      </c>
      <c r="D38" s="74" t="s">
        <v>1365</v>
      </c>
      <c r="E38" s="80" t="s">
        <v>28</v>
      </c>
    </row>
    <row r="39">
      <c r="B39" s="72" t="s">
        <v>968</v>
      </c>
      <c r="C39" s="75" t="s">
        <v>1830</v>
      </c>
      <c r="D39" s="74" t="s">
        <v>1482</v>
      </c>
      <c r="E39" s="103" t="str">
        <f>HYPERLINK("https://youtu.be/iMLGwzTtAxw","channel 1")</f>
        <v>channel 1</v>
      </c>
    </row>
    <row r="40">
      <c r="B40" s="72" t="s">
        <v>667</v>
      </c>
      <c r="C40" s="126" t="s">
        <v>58</v>
      </c>
      <c r="D40" s="74" t="s">
        <v>1365</v>
      </c>
      <c r="E40" s="80" t="s">
        <v>28</v>
      </c>
    </row>
    <row r="41">
      <c r="B41" s="72" t="s">
        <v>972</v>
      </c>
      <c r="C41" s="75" t="s">
        <v>1831</v>
      </c>
      <c r="D41" s="74" t="s">
        <v>1482</v>
      </c>
      <c r="E41" s="103" t="str">
        <f>HYPERLINK("https://youtu.be/iMLGwzTtAxw","channel 1")</f>
        <v>channel 1</v>
      </c>
    </row>
    <row r="42">
      <c r="B42" s="72" t="s">
        <v>667</v>
      </c>
      <c r="C42" s="75" t="s">
        <v>1862</v>
      </c>
      <c r="D42" s="74" t="s">
        <v>968</v>
      </c>
      <c r="E42" s="103" t="str">
        <f>HYPERLINK("https://youtu.be/waIJ5I7-ZmY","channel 2")</f>
        <v>channel 2</v>
      </c>
    </row>
    <row r="43">
      <c r="B43" s="72" t="s">
        <v>1365</v>
      </c>
      <c r="C43" s="126" t="s">
        <v>58</v>
      </c>
      <c r="D43" s="74" t="s">
        <v>1482</v>
      </c>
      <c r="E43" s="80" t="s">
        <v>26</v>
      </c>
    </row>
    <row r="44">
      <c r="B44" s="72" t="s">
        <v>972</v>
      </c>
      <c r="C44" s="75" t="s">
        <v>1849</v>
      </c>
      <c r="D44" s="74" t="s">
        <v>968</v>
      </c>
      <c r="E44" s="103" t="str">
        <f>HYPERLINK("https://youtu.be/CM9XLII04vY","channel 2")</f>
        <v>channel 2</v>
      </c>
    </row>
    <row r="45">
      <c r="B45" s="42" t="s">
        <v>597</v>
      </c>
      <c r="C45" s="3"/>
      <c r="D45" s="4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256</v>
      </c>
      <c r="C47" s="73" t="s">
        <v>1830</v>
      </c>
      <c r="D47" s="74" t="s">
        <v>600</v>
      </c>
      <c r="E47" s="103" t="str">
        <f>HYPERLINK("https://youtu.be/2FN0y3Dc9HU","channel 1")</f>
        <v>channel 1</v>
      </c>
    </row>
    <row r="48">
      <c r="B48" s="72" t="s">
        <v>1587</v>
      </c>
      <c r="C48" s="73" t="s">
        <v>1824</v>
      </c>
      <c r="D48" s="74" t="s">
        <v>732</v>
      </c>
      <c r="E48" s="103" t="str">
        <f>HYPERLINK("https://youtu.be/J409hfLc7eM","channel 2")</f>
        <v>channel 2</v>
      </c>
    </row>
    <row r="49">
      <c r="B49" s="72" t="s">
        <v>1632</v>
      </c>
      <c r="C49" s="73" t="s">
        <v>1840</v>
      </c>
      <c r="D49" s="74" t="s">
        <v>256</v>
      </c>
      <c r="E49" s="103" t="str">
        <f>HYPERLINK("https://youtu.be/u8oSlG9Rd3w","channel 1")</f>
        <v>channel 1</v>
      </c>
    </row>
    <row r="50">
      <c r="B50" s="72" t="s">
        <v>1587</v>
      </c>
      <c r="C50" s="73" t="s">
        <v>1831</v>
      </c>
      <c r="D50" s="74" t="s">
        <v>600</v>
      </c>
      <c r="E50" s="103" t="str">
        <f>HYPERLINK("https://youtu.be/xfU9OKTQKA4","channel 2")</f>
        <v>channel 2</v>
      </c>
    </row>
    <row r="51">
      <c r="B51" s="72" t="s">
        <v>1632</v>
      </c>
      <c r="C51" s="73" t="s">
        <v>1848</v>
      </c>
      <c r="D51" s="74" t="s">
        <v>732</v>
      </c>
      <c r="E51" s="103" t="str">
        <f>HYPERLINK("https://youtu.be/2333R3wMYF0","channel 1")</f>
        <v>channel 1</v>
      </c>
    </row>
    <row r="52">
      <c r="B52" s="72" t="s">
        <v>1587</v>
      </c>
      <c r="C52" s="73" t="s">
        <v>1828</v>
      </c>
      <c r="D52" s="74" t="s">
        <v>256</v>
      </c>
      <c r="E52" s="103" t="str">
        <f>HYPERLINK("https://youtu.be/U8p_LFlujxM","channel 2")</f>
        <v>channel 2</v>
      </c>
    </row>
    <row r="53">
      <c r="B53" s="72" t="s">
        <v>1632</v>
      </c>
      <c r="C53" s="73" t="s">
        <v>1848</v>
      </c>
      <c r="D53" s="74" t="s">
        <v>600</v>
      </c>
      <c r="E53" s="103" t="str">
        <f>HYPERLINK("https://youtu.be/eMX55VEK-kI","channel 1")</f>
        <v>channel 1</v>
      </c>
    </row>
    <row r="54">
      <c r="B54" s="72" t="s">
        <v>732</v>
      </c>
      <c r="C54" s="73" t="s">
        <v>1831</v>
      </c>
      <c r="D54" s="74" t="s">
        <v>256</v>
      </c>
      <c r="E54" s="103" t="str">
        <f>HYPERLINK("https://youtu.be/U8p_LFlujxM","channel 2")</f>
        <v>channel 2</v>
      </c>
    </row>
    <row r="55">
      <c r="B55" s="72" t="s">
        <v>1632</v>
      </c>
      <c r="C55" s="73" t="s">
        <v>1860</v>
      </c>
      <c r="D55" s="74" t="s">
        <v>1587</v>
      </c>
      <c r="E55" s="103" t="str">
        <f>HYPERLINK("https://youtu.be/SCRYQ6_odO4","channel 1")</f>
        <v>channel 1</v>
      </c>
    </row>
    <row r="56">
      <c r="B56" s="72" t="s">
        <v>732</v>
      </c>
      <c r="C56" s="73" t="s">
        <v>1831</v>
      </c>
      <c r="D56" s="74" t="s">
        <v>600</v>
      </c>
      <c r="E56" s="103" t="str">
        <f>HYPERLINK("https://youtu.be/U8p_LFlujxM","channel 2")</f>
        <v>channel 2</v>
      </c>
      <c r="F56" s="113"/>
    </row>
    <row r="57">
      <c r="B57" s="72" t="s">
        <v>600</v>
      </c>
      <c r="C57" s="73" t="s">
        <v>1851</v>
      </c>
      <c r="D57" s="74" t="s">
        <v>256</v>
      </c>
      <c r="E57" s="103" t="str">
        <f>HYPERLINK("https://youtu.be/zfxPrbw6atk","channel 1")</f>
        <v>channel 1</v>
      </c>
      <c r="G57" s="114"/>
    </row>
    <row r="58">
      <c r="B58" s="72" t="s">
        <v>732</v>
      </c>
      <c r="C58" s="73" t="s">
        <v>1824</v>
      </c>
      <c r="D58" s="74" t="s">
        <v>1587</v>
      </c>
      <c r="E58" s="103" t="str">
        <f>HYPERLINK("https://youtu.be/U8p_LFlujxM","channel 2")</f>
        <v>channel 2</v>
      </c>
    </row>
    <row r="59">
      <c r="B59" s="72" t="s">
        <v>256</v>
      </c>
      <c r="C59" s="75" t="s">
        <v>1835</v>
      </c>
      <c r="D59" s="74" t="s">
        <v>1632</v>
      </c>
      <c r="E59" s="103" t="str">
        <f>HYPERLINK("https://youtu.be/UnlBwqWh0FQ","channel 1")</f>
        <v>channel 1</v>
      </c>
    </row>
    <row r="60">
      <c r="B60" s="72" t="s">
        <v>600</v>
      </c>
      <c r="C60" s="75" t="s">
        <v>1840</v>
      </c>
      <c r="D60" s="74" t="s">
        <v>1587</v>
      </c>
      <c r="E60" s="103" t="str">
        <f>HYPERLINK("https://youtu.be/U8p_LFlujxM","channel 2")</f>
        <v>channel 2</v>
      </c>
    </row>
    <row r="61">
      <c r="B61" s="72" t="s">
        <v>732</v>
      </c>
      <c r="C61" s="75" t="s">
        <v>1901</v>
      </c>
      <c r="D61" s="74" t="s">
        <v>1632</v>
      </c>
      <c r="E61" s="103" t="str">
        <f>HYPERLINK("https://youtu.be/2wANJaQN7nc","channel 1")</f>
        <v>channel 1</v>
      </c>
    </row>
    <row r="62">
      <c r="B62" s="72" t="s">
        <v>256</v>
      </c>
      <c r="C62" s="75" t="s">
        <v>1849</v>
      </c>
      <c r="D62" s="74" t="s">
        <v>1587</v>
      </c>
      <c r="E62" s="103" t="str">
        <f>HYPERLINK("https://youtu.be/U8p_LFlujxM","channel 2")</f>
        <v>channel 2</v>
      </c>
    </row>
    <row r="63">
      <c r="B63" s="72" t="s">
        <v>600</v>
      </c>
      <c r="C63" s="75" t="s">
        <v>1835</v>
      </c>
      <c r="D63" s="74" t="s">
        <v>1632</v>
      </c>
      <c r="E63" s="103" t="str">
        <f>HYPERLINK("https://youtu.be/gxRUpjGtmSw","channel 1")</f>
        <v>channel 1</v>
      </c>
    </row>
    <row r="64">
      <c r="B64" s="72" t="s">
        <v>256</v>
      </c>
      <c r="C64" s="75" t="s">
        <v>1830</v>
      </c>
      <c r="D64" s="74" t="s">
        <v>732</v>
      </c>
      <c r="E64" s="103" t="str">
        <f>HYPERLINK("https://youtu.be/U8p_LFlujxM","channel 2")</f>
        <v>channel 2</v>
      </c>
    </row>
    <row r="65">
      <c r="B65" s="72" t="s">
        <v>1587</v>
      </c>
      <c r="C65" s="75" t="s">
        <v>1837</v>
      </c>
      <c r="D65" s="74" t="s">
        <v>1632</v>
      </c>
      <c r="E65" s="103" t="str">
        <f>HYPERLINK("https://youtu.be/pi3Yglu0kKE","channel 1")</f>
        <v>channel 1</v>
      </c>
    </row>
    <row r="66">
      <c r="B66" s="72" t="s">
        <v>600</v>
      </c>
      <c r="C66" s="75" t="s">
        <v>1870</v>
      </c>
      <c r="D66" s="74" t="s">
        <v>732</v>
      </c>
      <c r="E66" s="103" t="str">
        <f>HYPERLINK("https://youtu.be/U8p_LFlujxM","channel 2")</f>
        <v>channel 2</v>
      </c>
    </row>
    <row r="67">
      <c r="B67" s="42" t="s">
        <v>1276</v>
      </c>
      <c r="C67" s="3"/>
      <c r="D67" s="4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1248</v>
      </c>
      <c r="C69" s="73" t="s">
        <v>1826</v>
      </c>
      <c r="D69" s="74" t="s">
        <v>1508</v>
      </c>
      <c r="E69" s="103" t="str">
        <f>HYPERLINK("https://youtu.be/2oZ_6J7PQyM","channel 1")</f>
        <v>channel 1</v>
      </c>
    </row>
    <row r="70">
      <c r="B70" s="72" t="s">
        <v>1539</v>
      </c>
      <c r="C70" s="73" t="s">
        <v>1870</v>
      </c>
      <c r="D70" s="74" t="s">
        <v>1635</v>
      </c>
      <c r="E70" s="103" t="str">
        <f>HYPERLINK("https://youtu.be/oG_AWV7oz9k","channel 2")</f>
        <v>channel 2</v>
      </c>
    </row>
    <row r="71">
      <c r="B71" s="72" t="s">
        <v>1758</v>
      </c>
      <c r="C71" s="73" t="s">
        <v>1860</v>
      </c>
      <c r="D71" s="74" t="s">
        <v>1248</v>
      </c>
      <c r="E71" s="103" t="str">
        <f>HYPERLINK("https://youtu.be/ZgSflaGV7_w","channel 1")</f>
        <v>channel 1</v>
      </c>
    </row>
    <row r="72">
      <c r="B72" s="72" t="s">
        <v>1539</v>
      </c>
      <c r="C72" s="73" t="s">
        <v>1834</v>
      </c>
      <c r="D72" s="74" t="s">
        <v>1508</v>
      </c>
      <c r="E72" s="103" t="str">
        <f>HYPERLINK("https://youtu.be/Kio6LPpdAEI","channel 2")</f>
        <v>channel 2</v>
      </c>
    </row>
    <row r="73">
      <c r="B73" s="72" t="s">
        <v>1758</v>
      </c>
      <c r="C73" s="73" t="s">
        <v>1871</v>
      </c>
      <c r="D73" s="74" t="s">
        <v>1635</v>
      </c>
      <c r="E73" s="103" t="str">
        <f>HYPERLINK("https://youtu.be/JqOfnHt54C4","channel 1")</f>
        <v>channel 1</v>
      </c>
    </row>
    <row r="74">
      <c r="B74" s="72" t="s">
        <v>1539</v>
      </c>
      <c r="C74" s="73" t="s">
        <v>1870</v>
      </c>
      <c r="D74" s="74" t="s">
        <v>1248</v>
      </c>
      <c r="E74" s="103" t="str">
        <f>HYPERLINK("https://youtu.be/zABAW4Qcd_U","channel 2")</f>
        <v>channel 2</v>
      </c>
    </row>
    <row r="75">
      <c r="B75" s="72" t="s">
        <v>1758</v>
      </c>
      <c r="C75" s="73" t="s">
        <v>1848</v>
      </c>
      <c r="D75" s="74" t="s">
        <v>1508</v>
      </c>
      <c r="E75" s="103" t="str">
        <f>HYPERLINK("https://youtu.be/OQquq6auX44","channel 1")</f>
        <v>channel 1</v>
      </c>
    </row>
    <row r="76">
      <c r="B76" s="72" t="s">
        <v>1635</v>
      </c>
      <c r="C76" s="73" t="s">
        <v>1917</v>
      </c>
      <c r="D76" s="74" t="s">
        <v>1248</v>
      </c>
      <c r="E76" s="103" t="str">
        <f>HYPERLINK("https://youtu.be/zABAW4Qcd_U","channel 2")</f>
        <v>channel 2</v>
      </c>
    </row>
    <row r="77">
      <c r="B77" s="72" t="s">
        <v>1758</v>
      </c>
      <c r="C77" s="73" t="s">
        <v>1828</v>
      </c>
      <c r="D77" s="74" t="s">
        <v>1539</v>
      </c>
      <c r="E77" s="103" t="str">
        <f>HYPERLINK("https://youtu.be/FLF7FWQZ8RM","channel 1")</f>
        <v>channel 1</v>
      </c>
    </row>
    <row r="78">
      <c r="B78" s="72" t="s">
        <v>1635</v>
      </c>
      <c r="C78" s="73" t="s">
        <v>1861</v>
      </c>
      <c r="D78" s="74" t="s">
        <v>1508</v>
      </c>
      <c r="E78" s="103" t="str">
        <f>HYPERLINK("https://youtu.be/12MARby9OK4","channel 2")</f>
        <v>channel 2</v>
      </c>
    </row>
    <row r="79">
      <c r="B79" s="72" t="s">
        <v>1508</v>
      </c>
      <c r="C79" s="73" t="s">
        <v>1861</v>
      </c>
      <c r="D79" s="74" t="s">
        <v>1248</v>
      </c>
      <c r="E79" s="103" t="str">
        <f>HYPERLINK("https://youtu.be/PlfRfmpCCNs","channel 1")</f>
        <v>channel 1</v>
      </c>
    </row>
    <row r="80">
      <c r="B80" s="72" t="s">
        <v>1635</v>
      </c>
      <c r="C80" s="73" t="s">
        <v>1827</v>
      </c>
      <c r="D80" s="74" t="s">
        <v>1539</v>
      </c>
      <c r="E80" s="103" t="str">
        <f>HYPERLINK("https://youtu.be/12MARby9OK4","channel 2")</f>
        <v>channel 2</v>
      </c>
    </row>
    <row r="81">
      <c r="B81" s="72" t="s">
        <v>1248</v>
      </c>
      <c r="C81" s="75" t="s">
        <v>1837</v>
      </c>
      <c r="D81" s="74" t="s">
        <v>1758</v>
      </c>
      <c r="E81" s="103" t="str">
        <f>HYPERLINK("https://youtu.be/j3wWFFLvT9c","channel 1")</f>
        <v>channel 1</v>
      </c>
    </row>
    <row r="82">
      <c r="B82" s="72" t="s">
        <v>1508</v>
      </c>
      <c r="C82" s="75" t="s">
        <v>1833</v>
      </c>
      <c r="D82" s="74" t="s">
        <v>1539</v>
      </c>
      <c r="E82" s="103" t="str">
        <f>HYPERLINK("https://youtu.be/12MARby9OK4","channel 2")</f>
        <v>channel 2</v>
      </c>
    </row>
    <row r="83">
      <c r="B83" s="72" t="s">
        <v>1635</v>
      </c>
      <c r="C83" s="75" t="s">
        <v>1832</v>
      </c>
      <c r="D83" s="74" t="s">
        <v>1758</v>
      </c>
      <c r="E83" s="103" t="str">
        <f>HYPERLINK("https://youtu.be/oEB01dK3X6M","channel 1")</f>
        <v>channel 1</v>
      </c>
    </row>
    <row r="84">
      <c r="B84" s="72" t="s">
        <v>1248</v>
      </c>
      <c r="C84" s="75" t="s">
        <v>1854</v>
      </c>
      <c r="D84" s="74" t="s">
        <v>1539</v>
      </c>
      <c r="E84" s="103" t="str">
        <f>HYPERLINK("https://youtu.be/12MARby9OK4","channel 2")</f>
        <v>channel 2</v>
      </c>
    </row>
    <row r="85">
      <c r="B85" s="72" t="s">
        <v>1508</v>
      </c>
      <c r="C85" s="75" t="s">
        <v>1853</v>
      </c>
      <c r="D85" s="74" t="s">
        <v>1758</v>
      </c>
      <c r="E85" s="103" t="str">
        <f>HYPERLINK("https://youtu.be/7ca1DvwXCjk","channel 1")</f>
        <v>channel 1</v>
      </c>
    </row>
    <row r="86">
      <c r="B86" s="72" t="s">
        <v>1248</v>
      </c>
      <c r="C86" s="75" t="s">
        <v>1827</v>
      </c>
      <c r="D86" s="74" t="s">
        <v>1635</v>
      </c>
      <c r="E86" s="103" t="str">
        <f>HYPERLINK("https://youtu.be/4LYnP9N40jg","channel 2")</f>
        <v>channel 2</v>
      </c>
    </row>
    <row r="87">
      <c r="B87" s="72" t="s">
        <v>1539</v>
      </c>
      <c r="C87" s="75" t="s">
        <v>1854</v>
      </c>
      <c r="D87" s="74" t="s">
        <v>1758</v>
      </c>
      <c r="E87" s="103" t="str">
        <f>HYPERLINK("https://youtu.be/YNE0CcubAGk","channel 1")</f>
        <v>channel 1</v>
      </c>
    </row>
    <row r="88">
      <c r="B88" s="72" t="s">
        <v>1508</v>
      </c>
      <c r="C88" s="75" t="s">
        <v>1832</v>
      </c>
      <c r="D88" s="74" t="s">
        <v>1635</v>
      </c>
      <c r="E88" s="103" t="str">
        <f>HYPERLINK("https://youtu.be/4LYnP9N40jg","channel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1655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802</v>
      </c>
      <c r="C3" s="73" t="s">
        <v>1834</v>
      </c>
      <c r="D3" s="74" t="s">
        <v>1184</v>
      </c>
      <c r="E3" s="103" t="str">
        <f>HYPERLINK("https://youtu.be/qnfeEL9C_pU","channel 1")</f>
        <v>channel 1</v>
      </c>
    </row>
    <row r="4">
      <c r="B4" s="72" t="s">
        <v>1783</v>
      </c>
      <c r="C4" s="73" t="s">
        <v>1835</v>
      </c>
      <c r="D4" s="74" t="s">
        <v>804</v>
      </c>
      <c r="E4" s="103" t="str">
        <f>HYPERLINK("https://youtu.be/TgAnvtn5J5g","channel 2")</f>
        <v>channel 2</v>
      </c>
    </row>
    <row r="5">
      <c r="B5" s="72" t="s">
        <v>1441</v>
      </c>
      <c r="C5" s="73" t="s">
        <v>1824</v>
      </c>
      <c r="D5" s="74" t="s">
        <v>802</v>
      </c>
      <c r="E5" s="103" t="str">
        <f>HYPERLINK("https://youtu.be/dQLGwBrHgus","channel 1")</f>
        <v>channel 1</v>
      </c>
    </row>
    <row r="6">
      <c r="B6" s="72" t="s">
        <v>1783</v>
      </c>
      <c r="C6" s="73" t="s">
        <v>1829</v>
      </c>
      <c r="D6" s="74" t="s">
        <v>1184</v>
      </c>
      <c r="E6" s="103" t="str">
        <f>HYPERLINK("https://youtu.be/sss7uyRsTfI","channel 2")</f>
        <v>channel 2</v>
      </c>
    </row>
    <row r="7">
      <c r="B7" s="72" t="s">
        <v>1441</v>
      </c>
      <c r="C7" s="73" t="s">
        <v>1827</v>
      </c>
      <c r="D7" s="74" t="s">
        <v>804</v>
      </c>
      <c r="E7" s="103" t="str">
        <f>HYPERLINK("https://youtu.be/rF_j6Dt5fhs","channel 1")</f>
        <v>channel 1</v>
      </c>
    </row>
    <row r="8">
      <c r="B8" s="72" t="s">
        <v>1783</v>
      </c>
      <c r="C8" s="73" t="s">
        <v>1826</v>
      </c>
      <c r="D8" s="74" t="s">
        <v>802</v>
      </c>
      <c r="E8" s="103" t="str">
        <f>HYPERLINK("https://youtu.be/P6WuXD06WX8","channel 2")</f>
        <v>channel 2</v>
      </c>
    </row>
    <row r="9">
      <c r="B9" s="72" t="s">
        <v>1441</v>
      </c>
      <c r="C9" s="73" t="s">
        <v>1833</v>
      </c>
      <c r="D9" s="74" t="s">
        <v>1184</v>
      </c>
      <c r="E9" s="103" t="str">
        <f>HYPERLINK("https://youtu.be/rF_j6Dt5fhs","channel 1")</f>
        <v>channel 1</v>
      </c>
    </row>
    <row r="10">
      <c r="B10" s="72" t="s">
        <v>804</v>
      </c>
      <c r="C10" s="73" t="s">
        <v>1830</v>
      </c>
      <c r="D10" s="74" t="s">
        <v>802</v>
      </c>
      <c r="E10" s="103" t="str">
        <f>HYPERLINK("https://youtu.be/OnMtMG-AYds","channel 2")</f>
        <v>channel 2</v>
      </c>
    </row>
    <row r="11">
      <c r="B11" s="72" t="s">
        <v>1441</v>
      </c>
      <c r="C11" s="73" t="s">
        <v>1837</v>
      </c>
      <c r="D11" s="74" t="s">
        <v>1783</v>
      </c>
      <c r="E11" s="103" t="str">
        <f>HYPERLINK("https://youtu.be/rF_j6Dt5fhs","channel 1")</f>
        <v>channel 1</v>
      </c>
    </row>
    <row r="12">
      <c r="B12" s="72" t="s">
        <v>804</v>
      </c>
      <c r="C12" s="73" t="s">
        <v>1832</v>
      </c>
      <c r="D12" s="74" t="s">
        <v>1184</v>
      </c>
      <c r="E12" s="103" t="str">
        <f>HYPERLINK("https://youtu.be/C3v0E49IfW8","channel 2")</f>
        <v>channel 2</v>
      </c>
    </row>
    <row r="13">
      <c r="B13" s="72" t="s">
        <v>1184</v>
      </c>
      <c r="C13" s="73" t="s">
        <v>1849</v>
      </c>
      <c r="D13" s="74" t="s">
        <v>802</v>
      </c>
      <c r="E13" s="103" t="str">
        <f>HYPERLINK("https://youtu.be/dQLGwBrHgus","channel 1")</f>
        <v>channel 1</v>
      </c>
    </row>
    <row r="14">
      <c r="B14" s="72" t="s">
        <v>804</v>
      </c>
      <c r="C14" s="73" t="s">
        <v>1877</v>
      </c>
      <c r="D14" s="74" t="s">
        <v>1783</v>
      </c>
      <c r="E14" s="103" t="str">
        <f>HYPERLINK("https://youtu.be/LpF9ntPbryQ","channel 2")</f>
        <v>channel 2</v>
      </c>
    </row>
    <row r="15">
      <c r="B15" s="72" t="s">
        <v>802</v>
      </c>
      <c r="C15" s="75" t="s">
        <v>1827</v>
      </c>
      <c r="D15" s="74" t="s">
        <v>1441</v>
      </c>
      <c r="E15" s="103" t="str">
        <f>HYPERLINK("https://youtu.be/rF_j6Dt5fhs","channel 1")</f>
        <v>channel 1</v>
      </c>
    </row>
    <row r="16">
      <c r="B16" s="72" t="s">
        <v>1184</v>
      </c>
      <c r="C16" s="75" t="s">
        <v>1837</v>
      </c>
      <c r="D16" s="74" t="s">
        <v>1783</v>
      </c>
      <c r="E16" s="103" t="str">
        <f>HYPERLINK("https://youtu.be/PW8g_miRTT0","channel 2")</f>
        <v>channel 2</v>
      </c>
    </row>
    <row r="17">
      <c r="B17" s="72" t="s">
        <v>804</v>
      </c>
      <c r="C17" s="75" t="s">
        <v>1828</v>
      </c>
      <c r="D17" s="74" t="s">
        <v>1441</v>
      </c>
      <c r="E17" s="103" t="str">
        <f>HYPERLINK("https://youtu.be/dQLGwBrHgus","channel 1")</f>
        <v>channel 1</v>
      </c>
    </row>
    <row r="18">
      <c r="B18" s="72" t="s">
        <v>802</v>
      </c>
      <c r="C18" s="75" t="s">
        <v>1917</v>
      </c>
      <c r="D18" s="74" t="s">
        <v>1783</v>
      </c>
      <c r="E18" s="103" t="str">
        <f>HYPERLINK("https://youtu.be/jRUrPUyAFiU","channel 2")</f>
        <v>channel 2</v>
      </c>
    </row>
    <row r="19">
      <c r="B19" s="72" t="s">
        <v>1184</v>
      </c>
      <c r="C19" s="75" t="s">
        <v>1831</v>
      </c>
      <c r="D19" s="74" t="s">
        <v>1441</v>
      </c>
      <c r="E19" s="103" t="str">
        <f>HYPERLINK("https://youtu.be/rF_j6Dt5fhs","channel 1")</f>
        <v>channel 1</v>
      </c>
    </row>
    <row r="20">
      <c r="B20" s="72" t="s">
        <v>802</v>
      </c>
      <c r="C20" s="75" t="s">
        <v>1874</v>
      </c>
      <c r="D20" s="74" t="s">
        <v>804</v>
      </c>
      <c r="E20" s="103" t="str">
        <f>HYPERLINK("https://youtu.be/6WPveIZdezs","channel 2")</f>
        <v>channel 2</v>
      </c>
    </row>
    <row r="21">
      <c r="B21" s="72" t="s">
        <v>1783</v>
      </c>
      <c r="C21" s="75" t="s">
        <v>1828</v>
      </c>
      <c r="D21" s="74" t="s">
        <v>1441</v>
      </c>
      <c r="E21" s="103" t="str">
        <f>HYPERLINK("https://youtu.be/rF_j6Dt5fhs","channel 1")</f>
        <v>channel 1</v>
      </c>
    </row>
    <row r="22">
      <c r="B22" s="72" t="s">
        <v>1184</v>
      </c>
      <c r="C22" s="75" t="s">
        <v>1854</v>
      </c>
      <c r="D22" s="74" t="s">
        <v>804</v>
      </c>
      <c r="E22" s="103" t="str">
        <f>HYPERLINK("https://youtu.be/nk5HCZtEocA","channel 2")</f>
        <v>channel 2</v>
      </c>
    </row>
    <row r="23">
      <c r="B23" s="2" t="s">
        <v>64</v>
      </c>
      <c r="C23" s="3"/>
      <c r="D23" s="4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1416</v>
      </c>
      <c r="C25" s="73" t="s">
        <v>1841</v>
      </c>
      <c r="D25" s="74" t="s">
        <v>849</v>
      </c>
      <c r="E25" s="103" t="str">
        <f>HYPERLINK("https://youtu.be/m3c4nC0bhnQ","channel 1")</f>
        <v>channel 1</v>
      </c>
    </row>
    <row r="26">
      <c r="B26" s="72" t="s">
        <v>1942</v>
      </c>
      <c r="C26" s="73" t="s">
        <v>1847</v>
      </c>
      <c r="D26" s="74" t="s">
        <v>1943</v>
      </c>
      <c r="E26" s="103" t="str">
        <f>HYPERLINK("https://youtu.be/U3EdcUn1gP4","channel 2")</f>
        <v>channel 2</v>
      </c>
    </row>
    <row r="27">
      <c r="B27" s="72" t="s">
        <v>1944</v>
      </c>
      <c r="C27" s="73" t="s">
        <v>1904</v>
      </c>
      <c r="D27" s="74" t="s">
        <v>1416</v>
      </c>
      <c r="E27" s="103" t="str">
        <f>HYPERLINK("https://youtu.be/q4jnLdxDQoY","channel 1")</f>
        <v>channel 1</v>
      </c>
    </row>
    <row r="28">
      <c r="B28" s="72" t="s">
        <v>1942</v>
      </c>
      <c r="C28" s="73" t="s">
        <v>1945</v>
      </c>
      <c r="D28" s="74" t="s">
        <v>849</v>
      </c>
      <c r="E28" s="103" t="str">
        <f>HYPERLINK("https://youtu.be/sjzJBTm1qQQ","channel 2")</f>
        <v>channel 2</v>
      </c>
    </row>
    <row r="29">
      <c r="B29" s="72" t="s">
        <v>1944</v>
      </c>
      <c r="C29" s="73" t="s">
        <v>1841</v>
      </c>
      <c r="D29" s="74" t="s">
        <v>1943</v>
      </c>
      <c r="E29" s="103" t="str">
        <f>HYPERLINK("https://youtu.be/q4jnLdxDQoY","channel 1")</f>
        <v>channel 1</v>
      </c>
    </row>
    <row r="30">
      <c r="B30" s="72" t="s">
        <v>1942</v>
      </c>
      <c r="C30" s="73" t="s">
        <v>1833</v>
      </c>
      <c r="D30" s="74" t="s">
        <v>1416</v>
      </c>
      <c r="E30" s="103" t="str">
        <f>HYPERLINK("https://youtu.be/8g17KIJnkWk","channel 2")</f>
        <v>channel 2</v>
      </c>
    </row>
    <row r="31">
      <c r="B31" s="72" t="s">
        <v>1944</v>
      </c>
      <c r="C31" s="73" t="s">
        <v>1840</v>
      </c>
      <c r="D31" s="74" t="s">
        <v>849</v>
      </c>
      <c r="E31" s="103" t="str">
        <f>HYPERLINK("https://youtu.be/Uimgw0iQlQM","channel 1")</f>
        <v>channel 1</v>
      </c>
    </row>
    <row r="32">
      <c r="B32" s="72" t="s">
        <v>1943</v>
      </c>
      <c r="C32" s="73" t="s">
        <v>1827</v>
      </c>
      <c r="D32" s="74" t="s">
        <v>1416</v>
      </c>
      <c r="E32" s="103" t="str">
        <f>HYPERLINK("https://youtu.be/plle2hSeqRk","channel 2")</f>
        <v>channel 2</v>
      </c>
    </row>
    <row r="33">
      <c r="B33" s="72" t="s">
        <v>1944</v>
      </c>
      <c r="C33" s="73" t="s">
        <v>1828</v>
      </c>
      <c r="D33" s="74" t="s">
        <v>1942</v>
      </c>
      <c r="E33" s="103" t="str">
        <f>HYPERLINK("https://youtu.be/p8Hm6o-F2qg","channel 1")</f>
        <v>channel 1</v>
      </c>
    </row>
    <row r="34">
      <c r="B34" s="72" t="s">
        <v>1943</v>
      </c>
      <c r="C34" s="73" t="s">
        <v>1870</v>
      </c>
      <c r="D34" s="74" t="s">
        <v>849</v>
      </c>
      <c r="E34" s="103" t="str">
        <f>HYPERLINK("https://youtu.be/d28Jt8NlQSk","channel 2")</f>
        <v>channel 2</v>
      </c>
    </row>
    <row r="35">
      <c r="B35" s="72" t="s">
        <v>849</v>
      </c>
      <c r="C35" s="73" t="s">
        <v>1845</v>
      </c>
      <c r="D35" s="74" t="s">
        <v>1416</v>
      </c>
      <c r="E35" s="103" t="str">
        <f>HYPERLINK("https://youtu.be/p8Hm6o-F2qg","channel 1")</f>
        <v>channel 1</v>
      </c>
    </row>
    <row r="36">
      <c r="B36" s="72" t="s">
        <v>1943</v>
      </c>
      <c r="C36" s="73" t="s">
        <v>1837</v>
      </c>
      <c r="D36" s="74" t="s">
        <v>1942</v>
      </c>
      <c r="E36" s="103" t="str">
        <f>HYPERLINK("https://youtu.be/zFQfQdNp9Yg","channel 2")</f>
        <v>channel 2</v>
      </c>
    </row>
    <row r="37">
      <c r="B37" s="72" t="s">
        <v>1416</v>
      </c>
      <c r="C37" s="75" t="s">
        <v>1840</v>
      </c>
      <c r="D37" s="74" t="s">
        <v>1944</v>
      </c>
      <c r="E37" s="103" t="str">
        <f>HYPERLINK("https://youtu.be/p8Hm6o-F2qg","channel 1")</f>
        <v>channel 1</v>
      </c>
    </row>
    <row r="38">
      <c r="B38" s="72" t="s">
        <v>849</v>
      </c>
      <c r="C38" s="75" t="s">
        <v>1827</v>
      </c>
      <c r="D38" s="74" t="s">
        <v>1942</v>
      </c>
      <c r="E38" s="103" t="str">
        <f>HYPERLINK("https://youtu.be/VwN9sW6vHZ8","channel 2")</f>
        <v>channel 2</v>
      </c>
    </row>
    <row r="39">
      <c r="B39" s="72" t="s">
        <v>1943</v>
      </c>
      <c r="C39" s="75" t="s">
        <v>1860</v>
      </c>
      <c r="D39" s="74" t="s">
        <v>1944</v>
      </c>
      <c r="E39" s="103" t="str">
        <f>HYPERLINK("https://youtu.be/g8qJZpdURDM","channel 1")</f>
        <v>channel 1</v>
      </c>
    </row>
    <row r="40">
      <c r="B40" s="72" t="s">
        <v>1416</v>
      </c>
      <c r="C40" s="75" t="s">
        <v>1845</v>
      </c>
      <c r="D40" s="74" t="s">
        <v>1942</v>
      </c>
      <c r="E40" s="103" t="str">
        <f>HYPERLINK("https://youtu.be/NLdVUiyJTJw","channel 2")</f>
        <v>channel 2</v>
      </c>
    </row>
    <row r="41">
      <c r="B41" s="72" t="s">
        <v>849</v>
      </c>
      <c r="C41" s="75" t="s">
        <v>1827</v>
      </c>
      <c r="D41" s="74" t="s">
        <v>1944</v>
      </c>
      <c r="E41" s="103" t="str">
        <f>HYPERLINK("https://youtu.be/g8qJZpdURDM","channel 1")</f>
        <v>channel 1</v>
      </c>
    </row>
    <row r="42">
      <c r="B42" s="72" t="s">
        <v>1416</v>
      </c>
      <c r="C42" s="75" t="s">
        <v>1832</v>
      </c>
      <c r="D42" s="74" t="s">
        <v>1943</v>
      </c>
      <c r="E42" s="103" t="str">
        <f>HYPERLINK("https://youtu.be/NnFJ0g0BW4k","channel 2")</f>
        <v>channel 2</v>
      </c>
    </row>
    <row r="43">
      <c r="B43" s="72" t="s">
        <v>1942</v>
      </c>
      <c r="C43" s="75" t="s">
        <v>1826</v>
      </c>
      <c r="D43" s="74" t="s">
        <v>1944</v>
      </c>
      <c r="E43" s="103" t="str">
        <f>HYPERLINK("https://youtu.be/g8qJZpdURDM","channel 1")</f>
        <v>channel 1</v>
      </c>
    </row>
    <row r="44">
      <c r="B44" s="72" t="s">
        <v>849</v>
      </c>
      <c r="C44" s="75" t="s">
        <v>1827</v>
      </c>
      <c r="D44" s="74" t="s">
        <v>1943</v>
      </c>
      <c r="E44" s="103" t="str">
        <f>HYPERLINK("https://youtu.be/sKXewzOLatU","channel 2")</f>
        <v>channel 2</v>
      </c>
    </row>
    <row r="45">
      <c r="B45" s="121" t="s">
        <v>112</v>
      </c>
      <c r="C45" s="3"/>
      <c r="D45" s="4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1620</v>
      </c>
      <c r="C47" s="73" t="s">
        <v>1828</v>
      </c>
      <c r="D47" s="74" t="s">
        <v>1230</v>
      </c>
      <c r="E47" s="103" t="str">
        <f>HYPERLINK("https://youtu.be/q4jnLdxDQoY","channel 1")</f>
        <v>channel 1</v>
      </c>
    </row>
    <row r="48">
      <c r="B48" s="72" t="s">
        <v>1045</v>
      </c>
      <c r="C48" s="73" t="s">
        <v>1834</v>
      </c>
      <c r="D48" s="74" t="s">
        <v>1946</v>
      </c>
      <c r="E48" s="103" t="str">
        <f>HYPERLINK("https://youtu.be/i-71LaIOfpY","channel 2")</f>
        <v>channel 2</v>
      </c>
    </row>
    <row r="49">
      <c r="B49" s="72" t="s">
        <v>1079</v>
      </c>
      <c r="C49" s="73" t="s">
        <v>1834</v>
      </c>
      <c r="D49" s="74" t="s">
        <v>1620</v>
      </c>
      <c r="E49" s="103" t="str">
        <f>HYPERLINK("https://youtu.be/u7CTOSCW6CY","channel 1")</f>
        <v>channel 1</v>
      </c>
    </row>
    <row r="50">
      <c r="B50" s="72" t="s">
        <v>1045</v>
      </c>
      <c r="C50" s="73" t="s">
        <v>1845</v>
      </c>
      <c r="D50" s="74" t="s">
        <v>1230</v>
      </c>
      <c r="E50" s="103" t="str">
        <f>HYPERLINK("https://youtu.be/uyH5AlT7ymU","channel 2")</f>
        <v>channel 2</v>
      </c>
    </row>
    <row r="51">
      <c r="B51" s="72" t="s">
        <v>1079</v>
      </c>
      <c r="C51" s="73" t="s">
        <v>1840</v>
      </c>
      <c r="D51" s="74" t="s">
        <v>1946</v>
      </c>
      <c r="E51" s="103" t="str">
        <f>HYPERLINK("https://youtu.be/g8qJZpdURDM","channel 1")</f>
        <v>channel 1</v>
      </c>
    </row>
    <row r="52">
      <c r="B52" s="72" t="s">
        <v>1045</v>
      </c>
      <c r="C52" s="73" t="s">
        <v>1833</v>
      </c>
      <c r="D52" s="74" t="s">
        <v>1620</v>
      </c>
      <c r="E52" s="103" t="str">
        <f>HYPERLINK("https://youtu.be/jmq3QqEwMGQ","channel 2")</f>
        <v>channel 2</v>
      </c>
    </row>
    <row r="53">
      <c r="B53" s="72" t="s">
        <v>1079</v>
      </c>
      <c r="C53" s="73" t="s">
        <v>1849</v>
      </c>
      <c r="D53" s="74" t="s">
        <v>1230</v>
      </c>
      <c r="E53" s="103" t="str">
        <f>HYPERLINK("https://youtu.be/g8qJZpdURDM","channel 1")</f>
        <v>channel 1</v>
      </c>
    </row>
    <row r="54">
      <c r="B54" s="72" t="s">
        <v>1946</v>
      </c>
      <c r="C54" s="73" t="s">
        <v>1847</v>
      </c>
      <c r="D54" s="74" t="s">
        <v>1620</v>
      </c>
      <c r="E54" s="103" t="str">
        <f>HYPERLINK("https://youtu.be/3qL8Xjvp3fw","channel 2")</f>
        <v>channel 2</v>
      </c>
    </row>
    <row r="55">
      <c r="B55" s="72" t="s">
        <v>1079</v>
      </c>
      <c r="C55" s="73" t="s">
        <v>1849</v>
      </c>
      <c r="D55" s="74" t="s">
        <v>1045</v>
      </c>
      <c r="E55" s="103" t="str">
        <f>HYPERLINK("https://youtu.be/g8qJZpdURDM","channel 1")</f>
        <v>channel 1</v>
      </c>
    </row>
    <row r="56">
      <c r="B56" s="72" t="s">
        <v>1946</v>
      </c>
      <c r="C56" s="73" t="s">
        <v>1831</v>
      </c>
      <c r="D56" s="74" t="s">
        <v>1230</v>
      </c>
      <c r="E56" s="103" t="str">
        <f>HYPERLINK("https://youtu.be/8m0CPyMUwsU","channel 2")</f>
        <v>channel 2</v>
      </c>
      <c r="F56" s="113"/>
    </row>
    <row r="57">
      <c r="B57" s="72" t="s">
        <v>1230</v>
      </c>
      <c r="C57" s="73" t="s">
        <v>1862</v>
      </c>
      <c r="D57" s="74" t="s">
        <v>1620</v>
      </c>
      <c r="E57" s="103" t="str">
        <f>HYPERLINK("https://youtu.be/g8qJZpdURDM","channel 1")</f>
        <v>channel 1</v>
      </c>
      <c r="G57" s="114"/>
    </row>
    <row r="58">
      <c r="B58" s="72" t="s">
        <v>1946</v>
      </c>
      <c r="C58" s="73" t="s">
        <v>1835</v>
      </c>
      <c r="D58" s="74" t="s">
        <v>1045</v>
      </c>
      <c r="E58" s="103" t="str">
        <f>HYPERLINK("https://youtu.be/VdsmjRawPXA","channel 2")</f>
        <v>channel 2</v>
      </c>
    </row>
    <row r="59">
      <c r="B59" s="72" t="s">
        <v>1620</v>
      </c>
      <c r="C59" s="75" t="s">
        <v>1851</v>
      </c>
      <c r="D59" s="74" t="s">
        <v>1079</v>
      </c>
      <c r="E59" s="103" t="str">
        <f>HYPERLINK("https://youtu.be/g8qJZpdURDM","channel 1")</f>
        <v>channel 1</v>
      </c>
    </row>
    <row r="60">
      <c r="B60" s="72" t="s">
        <v>1230</v>
      </c>
      <c r="C60" s="75" t="s">
        <v>1836</v>
      </c>
      <c r="D60" s="74" t="s">
        <v>1045</v>
      </c>
      <c r="E60" s="103" t="str">
        <f>HYPERLINK("https://youtu.be/NjsHPQQ42Qk","channel 2")</f>
        <v>channel 2</v>
      </c>
    </row>
    <row r="61">
      <c r="B61" s="72" t="s">
        <v>1946</v>
      </c>
      <c r="C61" s="75" t="s">
        <v>1827</v>
      </c>
      <c r="D61" s="74" t="s">
        <v>1079</v>
      </c>
      <c r="E61" s="103" t="str">
        <f>HYPERLINK("https://youtu.be/u7CTOSCW6CY","channel 1")</f>
        <v>channel 1</v>
      </c>
    </row>
    <row r="62">
      <c r="B62" s="72" t="s">
        <v>1620</v>
      </c>
      <c r="C62" s="75" t="s">
        <v>1830</v>
      </c>
      <c r="D62" s="74" t="s">
        <v>1045</v>
      </c>
      <c r="E62" s="103" t="str">
        <f>HYPERLINK("https://youtu.be/iMozi2dki-0","channel 2")</f>
        <v>channel 2</v>
      </c>
    </row>
    <row r="63">
      <c r="B63" s="72" t="s">
        <v>1230</v>
      </c>
      <c r="C63" s="75" t="s">
        <v>1832</v>
      </c>
      <c r="D63" s="74" t="s">
        <v>1079</v>
      </c>
      <c r="E63" s="103" t="str">
        <f>HYPERLINK("https://youtu.be/qatQq-EXW6M","channel 1")</f>
        <v>channel 1</v>
      </c>
    </row>
    <row r="64">
      <c r="B64" s="72" t="s">
        <v>1620</v>
      </c>
      <c r="C64" s="75" t="s">
        <v>1873</v>
      </c>
      <c r="D64" s="74" t="s">
        <v>1946</v>
      </c>
      <c r="E64" s="103" t="str">
        <f>HYPERLINK("https://youtu.be/PZLZqc-GLqw","channel 2")</f>
        <v>channel 2</v>
      </c>
    </row>
    <row r="65">
      <c r="B65" s="72" t="s">
        <v>1045</v>
      </c>
      <c r="C65" s="75" t="s">
        <v>1850</v>
      </c>
      <c r="D65" s="74" t="s">
        <v>1079</v>
      </c>
      <c r="E65" s="103" t="str">
        <f>HYPERLINK("https://youtu.be/69kw4Z6ejrU","channel 1")</f>
        <v>channel 1</v>
      </c>
    </row>
    <row r="66">
      <c r="B66" s="72" t="s">
        <v>1230</v>
      </c>
      <c r="C66" s="75" t="s">
        <v>1840</v>
      </c>
      <c r="D66" s="74" t="s">
        <v>1946</v>
      </c>
      <c r="E66" s="103" t="str">
        <f>HYPERLINK("https://youtu.be/vGbqp71cle0","channel 2")</f>
        <v>channel 2</v>
      </c>
    </row>
    <row r="67">
      <c r="B67" s="121" t="s">
        <v>1150</v>
      </c>
      <c r="C67" s="3"/>
      <c r="D67" s="4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1567</v>
      </c>
      <c r="C69" s="73" t="s">
        <v>1849</v>
      </c>
      <c r="D69" s="74" t="s">
        <v>884</v>
      </c>
      <c r="E69" s="103" t="str">
        <f>HYPERLINK("https://youtu.be/30LMD8mILmo","channel 1")</f>
        <v>channel 1</v>
      </c>
    </row>
    <row r="70">
      <c r="B70" s="72" t="s">
        <v>50</v>
      </c>
      <c r="C70" s="73" t="s">
        <v>1830</v>
      </c>
      <c r="D70" s="74" t="s">
        <v>1352</v>
      </c>
      <c r="E70" s="103" t="str">
        <f>HYPERLINK("https://youtu.be/pT9eIYKUOEA","channel 2")</f>
        <v>channel 2</v>
      </c>
    </row>
    <row r="71">
      <c r="B71" s="72" t="s">
        <v>1772</v>
      </c>
      <c r="C71" s="73" t="s">
        <v>1845</v>
      </c>
      <c r="D71" s="74" t="s">
        <v>1567</v>
      </c>
      <c r="E71" s="103" t="str">
        <f>HYPERLINK("https://youtu.be/shGraMg345U","channel 1")</f>
        <v>channel 1</v>
      </c>
    </row>
    <row r="72">
      <c r="B72" s="72" t="s">
        <v>50</v>
      </c>
      <c r="C72" s="73" t="s">
        <v>1851</v>
      </c>
      <c r="D72" s="74" t="s">
        <v>884</v>
      </c>
      <c r="E72" s="103" t="str">
        <f>HYPERLINK("https://youtu.be/Th1ih02qyEU","channel 2")</f>
        <v>channel 2</v>
      </c>
    </row>
    <row r="73">
      <c r="B73" s="72" t="s">
        <v>1772</v>
      </c>
      <c r="C73" s="73" t="s">
        <v>1845</v>
      </c>
      <c r="D73" s="74" t="s">
        <v>1352</v>
      </c>
      <c r="E73" s="103" t="str">
        <f>HYPERLINK("https://youtu.be/aRL4_7cH5MM","channel 1")</f>
        <v>channel 1</v>
      </c>
    </row>
    <row r="74">
      <c r="B74" s="72" t="s">
        <v>50</v>
      </c>
      <c r="C74" s="73" t="s">
        <v>1871</v>
      </c>
      <c r="D74" s="74" t="s">
        <v>1567</v>
      </c>
      <c r="E74" s="103" t="str">
        <f>HYPERLINK("https://youtu.be/VSyew6Av60U","channel 2")</f>
        <v>channel 2</v>
      </c>
    </row>
    <row r="75">
      <c r="B75" s="72" t="s">
        <v>1772</v>
      </c>
      <c r="C75" s="73" t="s">
        <v>1849</v>
      </c>
      <c r="D75" s="74" t="s">
        <v>884</v>
      </c>
      <c r="E75" s="103" t="str">
        <f>HYPERLINK("https://youtu.be/JkotinQANb0","channel 1")</f>
        <v>channel 1</v>
      </c>
    </row>
    <row r="76">
      <c r="B76" s="72" t="s">
        <v>1352</v>
      </c>
      <c r="C76" s="73" t="s">
        <v>1828</v>
      </c>
      <c r="D76" s="74" t="s">
        <v>1567</v>
      </c>
      <c r="E76" s="103" t="str">
        <f>HYPERLINK("https://youtu.be/oDYPYMn6JfM","channel 2")</f>
        <v>channel 2</v>
      </c>
    </row>
    <row r="77">
      <c r="B77" s="72" t="s">
        <v>1772</v>
      </c>
      <c r="C77" s="73" t="s">
        <v>1834</v>
      </c>
      <c r="D77" s="74" t="s">
        <v>50</v>
      </c>
      <c r="E77" s="103" t="str">
        <f>HYPERLINK("https://youtu.be/soLTIuIUU1E","channel 1")</f>
        <v>channel 1</v>
      </c>
    </row>
    <row r="78">
      <c r="B78" s="72" t="s">
        <v>1352</v>
      </c>
      <c r="C78" s="73" t="s">
        <v>1833</v>
      </c>
      <c r="D78" s="74" t="s">
        <v>884</v>
      </c>
      <c r="E78" s="103" t="str">
        <f>HYPERLINK("https://youtu.be/ycUm3bMXuxo","channel 2")</f>
        <v>channel 2</v>
      </c>
    </row>
    <row r="79">
      <c r="B79" s="72" t="s">
        <v>884</v>
      </c>
      <c r="C79" s="73" t="s">
        <v>1840</v>
      </c>
      <c r="D79" s="74" t="s">
        <v>1567</v>
      </c>
      <c r="E79" s="103" t="str">
        <f>HYPERLINK("https://youtu.be/soLTIuIUU1E","channel 1")</f>
        <v>channel 1</v>
      </c>
    </row>
    <row r="80">
      <c r="B80" s="72" t="s">
        <v>1352</v>
      </c>
      <c r="C80" s="73" t="s">
        <v>1870</v>
      </c>
      <c r="D80" s="74" t="s">
        <v>50</v>
      </c>
      <c r="E80" s="103" t="str">
        <f>HYPERLINK("https://youtu.be/5UCaL-Hf6iI","channel 2")</f>
        <v>channel 2</v>
      </c>
    </row>
    <row r="81">
      <c r="B81" s="72" t="s">
        <v>1567</v>
      </c>
      <c r="C81" s="75" t="s">
        <v>1845</v>
      </c>
      <c r="D81" s="74" t="s">
        <v>1772</v>
      </c>
      <c r="E81" s="103" t="str">
        <f>HYPERLINK("https://youtu.be/soLTIuIUU1E","channel 1")</f>
        <v>channel 1</v>
      </c>
    </row>
    <row r="82">
      <c r="B82" s="72" t="s">
        <v>884</v>
      </c>
      <c r="C82" s="75" t="s">
        <v>1826</v>
      </c>
      <c r="D82" s="74" t="s">
        <v>50</v>
      </c>
      <c r="E82" s="103" t="str">
        <f>HYPERLINK("https://youtu.be/Hy6JTQf8ImE","channel 2")</f>
        <v>channel 2</v>
      </c>
    </row>
    <row r="83">
      <c r="B83" s="72" t="s">
        <v>1352</v>
      </c>
      <c r="C83" s="75" t="s">
        <v>1824</v>
      </c>
      <c r="D83" s="74" t="s">
        <v>1772</v>
      </c>
      <c r="E83" s="103" t="str">
        <f>HYPERLINK("https://youtu.be/soLTIuIUU1E","channel 1")</f>
        <v>channel 1</v>
      </c>
    </row>
    <row r="84">
      <c r="B84" s="72" t="s">
        <v>1567</v>
      </c>
      <c r="C84" s="75" t="s">
        <v>1837</v>
      </c>
      <c r="D84" s="74" t="s">
        <v>50</v>
      </c>
      <c r="E84" s="103" t="str">
        <f>HYPERLINK("https://youtu.be/h1Ec-5bX7Kc","channel 2")</f>
        <v>channel 2</v>
      </c>
    </row>
    <row r="85">
      <c r="B85" s="72" t="s">
        <v>884</v>
      </c>
      <c r="C85" s="75" t="s">
        <v>1849</v>
      </c>
      <c r="D85" s="74" t="s">
        <v>1772</v>
      </c>
      <c r="E85" s="103" t="str">
        <f>HYPERLINK("https://youtu.be/soLTIuIUU1E","channel 1")</f>
        <v>channel 1</v>
      </c>
    </row>
    <row r="86">
      <c r="B86" s="72" t="s">
        <v>1567</v>
      </c>
      <c r="C86" s="75" t="s">
        <v>1892</v>
      </c>
      <c r="D86" s="74" t="s">
        <v>1352</v>
      </c>
      <c r="E86" s="103" t="str">
        <f>HYPERLINK("https://youtu.be/n1x6YUADd8U","channel 2")</f>
        <v>channel 2</v>
      </c>
    </row>
    <row r="87">
      <c r="B87" s="72" t="s">
        <v>50</v>
      </c>
      <c r="C87" s="75" t="s">
        <v>1870</v>
      </c>
      <c r="D87" s="74" t="s">
        <v>1772</v>
      </c>
      <c r="E87" s="103" t="str">
        <f>HYPERLINK("https://youtu.be/soLTIuIUU1E","channel 1")</f>
        <v>channel 1</v>
      </c>
    </row>
    <row r="88">
      <c r="B88" s="72" t="s">
        <v>884</v>
      </c>
      <c r="C88" s="75" t="s">
        <v>1830</v>
      </c>
      <c r="D88" s="74" t="s">
        <v>1352</v>
      </c>
      <c r="E88" s="103" t="str">
        <f>HYPERLINK("https://youtu.be/aImKn3L9s9k","channel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7" t="s">
        <v>1947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1284</v>
      </c>
      <c r="C3" s="73" t="s">
        <v>1833</v>
      </c>
      <c r="D3" s="74" t="s">
        <v>1000</v>
      </c>
      <c r="E3" s="103" t="str">
        <f>HYPERLINK("https://youtu.be/wdv9GuIS5o0","channel 1")</f>
        <v>channel 1</v>
      </c>
    </row>
    <row r="4">
      <c r="B4" s="72" t="s">
        <v>1948</v>
      </c>
      <c r="C4" s="73" t="s">
        <v>1848</v>
      </c>
      <c r="D4" s="74" t="s">
        <v>1669</v>
      </c>
      <c r="E4" s="103" t="str">
        <f>HYPERLINK("https://youtu.be/Sva1GS4oKGs","channel 2")</f>
        <v>channel 2</v>
      </c>
    </row>
    <row r="5">
      <c r="B5" s="72" t="s">
        <v>997</v>
      </c>
      <c r="C5" s="73" t="s">
        <v>1917</v>
      </c>
      <c r="D5" s="74" t="s">
        <v>1284</v>
      </c>
      <c r="E5" s="103" t="str">
        <f>HYPERLINK("https://youtu.be/8xi71MCzrXM","channel 1")</f>
        <v>channel 1</v>
      </c>
    </row>
    <row r="6">
      <c r="B6" s="72" t="s">
        <v>1948</v>
      </c>
      <c r="C6" s="73" t="s">
        <v>1868</v>
      </c>
      <c r="D6" s="74" t="s">
        <v>1000</v>
      </c>
      <c r="E6" s="103" t="str">
        <f>HYPERLINK("https://youtu.be/0C2kcrzWBCE","channel 2")</f>
        <v>channel 2</v>
      </c>
    </row>
    <row r="7">
      <c r="B7" s="72" t="s">
        <v>997</v>
      </c>
      <c r="C7" s="73" t="s">
        <v>1833</v>
      </c>
      <c r="D7" s="74" t="s">
        <v>1669</v>
      </c>
      <c r="E7" s="103" t="str">
        <f>HYPERLINK("https://youtu.be/Rol-De6Ntj0","channel 1")</f>
        <v>channel 1</v>
      </c>
    </row>
    <row r="8">
      <c r="B8" s="72" t="s">
        <v>1948</v>
      </c>
      <c r="C8" s="73" t="s">
        <v>1949</v>
      </c>
      <c r="D8" s="74" t="s">
        <v>1284</v>
      </c>
      <c r="E8" s="103" t="str">
        <f>HYPERLINK("https://youtu.be/itnl4q15cFc","channel 2")</f>
        <v>channel 2</v>
      </c>
    </row>
    <row r="9">
      <c r="B9" s="72" t="s">
        <v>997</v>
      </c>
      <c r="C9" s="73" t="s">
        <v>1870</v>
      </c>
      <c r="D9" s="74" t="s">
        <v>1000</v>
      </c>
      <c r="E9" s="103" t="str">
        <f>HYPERLINK("https://youtu.be/Os7UuFUliMk","channel 1")</f>
        <v>channel 1</v>
      </c>
    </row>
    <row r="10">
      <c r="B10" s="72" t="s">
        <v>1669</v>
      </c>
      <c r="C10" s="73" t="s">
        <v>1830</v>
      </c>
      <c r="D10" s="74" t="s">
        <v>1284</v>
      </c>
      <c r="E10" s="103" t="str">
        <f>HYPERLINK("https://youtu.be/NsHr-0-XFh8","channel 2")</f>
        <v>channel 2</v>
      </c>
    </row>
    <row r="11">
      <c r="B11" s="72" t="s">
        <v>997</v>
      </c>
      <c r="C11" s="73" t="s">
        <v>1827</v>
      </c>
      <c r="D11" s="74" t="s">
        <v>1948</v>
      </c>
      <c r="E11" s="103" t="str">
        <f>HYPERLINK("https://youtu.be/RW0H2NDnVak","channel 1")</f>
        <v>channel 1</v>
      </c>
    </row>
    <row r="12">
      <c r="B12" s="72" t="s">
        <v>1669</v>
      </c>
      <c r="C12" s="73" t="s">
        <v>1840</v>
      </c>
      <c r="D12" s="74" t="s">
        <v>1000</v>
      </c>
      <c r="E12" s="103" t="str">
        <f>HYPERLINK("https://youtu.be/-S2qyVTwwCc","channel 2")</f>
        <v>channel 2</v>
      </c>
    </row>
    <row r="13">
      <c r="B13" s="72" t="s">
        <v>1000</v>
      </c>
      <c r="C13" s="73" t="s">
        <v>1830</v>
      </c>
      <c r="D13" s="74" t="s">
        <v>1284</v>
      </c>
      <c r="E13" s="103" t="str">
        <f>HYPERLINK("https://youtu.be/RJPvFJfnhlc","channel 1")</f>
        <v>channel 1</v>
      </c>
    </row>
    <row r="14">
      <c r="B14" s="72" t="s">
        <v>1669</v>
      </c>
      <c r="C14" s="73" t="s">
        <v>1827</v>
      </c>
      <c r="D14" s="74" t="s">
        <v>1948</v>
      </c>
      <c r="E14" s="103" t="str">
        <f>HYPERLINK("https://youtu.be/-S2qyVTwwCc","channel 2")</f>
        <v>channel 2</v>
      </c>
    </row>
    <row r="15">
      <c r="B15" s="72" t="s">
        <v>1284</v>
      </c>
      <c r="C15" s="75" t="s">
        <v>1829</v>
      </c>
      <c r="D15" s="74" t="s">
        <v>997</v>
      </c>
      <c r="E15" s="103" t="str">
        <f>HYPERLINK("https://youtu.be/eKuVu0Sk3FU","channel 1")</f>
        <v>channel 1</v>
      </c>
    </row>
    <row r="16">
      <c r="B16" s="72" t="s">
        <v>1000</v>
      </c>
      <c r="C16" s="75" t="s">
        <v>1845</v>
      </c>
      <c r="D16" s="74" t="s">
        <v>1948</v>
      </c>
      <c r="E16" s="103" t="str">
        <f>HYPERLINK("https://youtu.be/2QqYt2N2xLI","channel 2")</f>
        <v>channel 2</v>
      </c>
    </row>
    <row r="17">
      <c r="B17" s="72" t="s">
        <v>1669</v>
      </c>
      <c r="C17" s="75" t="s">
        <v>1833</v>
      </c>
      <c r="D17" s="74" t="s">
        <v>997</v>
      </c>
      <c r="E17" s="103" t="str">
        <f>HYPERLINK("https://youtu.be/PGLABEyGF70","channel 1")</f>
        <v>channel 1</v>
      </c>
    </row>
    <row r="18">
      <c r="B18" s="72" t="s">
        <v>1284</v>
      </c>
      <c r="C18" s="75" t="s">
        <v>1830</v>
      </c>
      <c r="D18" s="74" t="s">
        <v>1948</v>
      </c>
      <c r="E18" s="103" t="str">
        <f>HYPERLINK("https://youtu.be/2QqYt2N2xLI","channel 2")</f>
        <v>channel 2</v>
      </c>
    </row>
    <row r="19">
      <c r="B19" s="72" t="s">
        <v>1000</v>
      </c>
      <c r="C19" s="75" t="s">
        <v>1950</v>
      </c>
      <c r="D19" s="74" t="s">
        <v>997</v>
      </c>
      <c r="E19" s="103" t="str">
        <f>HYPERLINK("https://youtu.be/B0qkxKNn0Uw","channel 1")</f>
        <v>channel 1</v>
      </c>
    </row>
    <row r="20">
      <c r="B20" s="72" t="s">
        <v>1284</v>
      </c>
      <c r="C20" s="75" t="s">
        <v>1840</v>
      </c>
      <c r="D20" s="74" t="s">
        <v>1669</v>
      </c>
      <c r="E20" s="103" t="str">
        <f>HYPERLINK("https://youtu.be/2QqYt2N2xLI","channel 2")</f>
        <v>channel 2</v>
      </c>
    </row>
    <row r="21">
      <c r="B21" s="72" t="s">
        <v>1948</v>
      </c>
      <c r="C21" s="75" t="s">
        <v>1870</v>
      </c>
      <c r="D21" s="74" t="s">
        <v>997</v>
      </c>
      <c r="E21" s="103" t="str">
        <f>HYPERLINK("https://youtu.be/1Jl1NdJVWXY","channel 1")</f>
        <v>channel 1</v>
      </c>
    </row>
    <row r="22">
      <c r="B22" s="72" t="s">
        <v>1000</v>
      </c>
      <c r="C22" s="75" t="s">
        <v>1828</v>
      </c>
      <c r="D22" s="74" t="s">
        <v>1669</v>
      </c>
      <c r="E22" s="103" t="str">
        <f>HYPERLINK("https://youtu.be/2QqYt2N2xLI","channel 2")</f>
        <v>channel 2</v>
      </c>
    </row>
    <row r="23">
      <c r="B23" s="6" t="s">
        <v>1951</v>
      </c>
      <c r="C23" s="3"/>
      <c r="D23" s="4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1739</v>
      </c>
      <c r="C25" s="73" t="s">
        <v>1830</v>
      </c>
      <c r="D25" s="74" t="s">
        <v>482</v>
      </c>
      <c r="E25" s="103" t="str">
        <f>HYPERLINK("https://youtu.be/LhFaq6aYyvo","channel 1")</f>
        <v>channel 1</v>
      </c>
    </row>
    <row r="26">
      <c r="B26" s="72" t="s">
        <v>1952</v>
      </c>
      <c r="C26" s="73" t="s">
        <v>1845</v>
      </c>
      <c r="D26" s="74" t="s">
        <v>840</v>
      </c>
      <c r="E26" s="103" t="str">
        <f>HYPERLINK("https://youtu.be/f1KizH_Fe9E","channel 2")</f>
        <v>channel 2</v>
      </c>
    </row>
    <row r="27">
      <c r="B27" s="72" t="s">
        <v>1953</v>
      </c>
      <c r="C27" s="73" t="s">
        <v>1833</v>
      </c>
      <c r="D27" s="74" t="s">
        <v>1739</v>
      </c>
      <c r="E27" s="103" t="str">
        <f>HYPERLINK("https://youtu.be/gVsgOBLo6Qs","channel 1")</f>
        <v>channel 1</v>
      </c>
    </row>
    <row r="28">
      <c r="B28" s="72" t="s">
        <v>1952</v>
      </c>
      <c r="C28" s="73" t="s">
        <v>1834</v>
      </c>
      <c r="D28" s="74" t="s">
        <v>482</v>
      </c>
      <c r="E28" s="103" t="str">
        <f>HYPERLINK("https://youtu.be/7ac4iKDnkdM","channel 2")</f>
        <v>channel 2</v>
      </c>
    </row>
    <row r="29">
      <c r="B29" s="72" t="s">
        <v>1953</v>
      </c>
      <c r="C29" s="73" t="s">
        <v>1850</v>
      </c>
      <c r="D29" s="74" t="s">
        <v>840</v>
      </c>
      <c r="E29" s="103" t="str">
        <f>HYPERLINK("https://youtu.be/hSCKv18LVYw","channel 1")</f>
        <v>channel 1</v>
      </c>
    </row>
    <row r="30">
      <c r="B30" s="72" t="s">
        <v>1952</v>
      </c>
      <c r="C30" s="73" t="s">
        <v>1861</v>
      </c>
      <c r="D30" s="74" t="s">
        <v>1739</v>
      </c>
      <c r="E30" s="103" t="str">
        <f>HYPERLINK("https://youtu.be/MGfdoJc1Jd4","channel 2")</f>
        <v>channel 2</v>
      </c>
    </row>
    <row r="31">
      <c r="B31" s="72" t="s">
        <v>1953</v>
      </c>
      <c r="C31" s="73" t="s">
        <v>1827</v>
      </c>
      <c r="D31" s="74" t="s">
        <v>482</v>
      </c>
      <c r="E31" s="103" t="str">
        <f>HYPERLINK("https://youtu.be/2Oi9A-8gyxM","channel 1")</f>
        <v>channel 1</v>
      </c>
    </row>
    <row r="32">
      <c r="B32" s="72" t="s">
        <v>840</v>
      </c>
      <c r="C32" s="73" t="s">
        <v>1851</v>
      </c>
      <c r="D32" s="74" t="s">
        <v>1739</v>
      </c>
      <c r="E32" s="103" t="str">
        <f>HYPERLINK("https://youtu.be/MGfdoJc1Jd4","channel 2")</f>
        <v>channel 2</v>
      </c>
    </row>
    <row r="33">
      <c r="B33" s="72" t="s">
        <v>1953</v>
      </c>
      <c r="C33" s="73" t="s">
        <v>1840</v>
      </c>
      <c r="D33" s="74" t="s">
        <v>1952</v>
      </c>
      <c r="E33" s="103" t="str">
        <f>HYPERLINK("https://youtu.be/48a0eAewsls","channel 1")</f>
        <v>channel 1</v>
      </c>
    </row>
    <row r="34">
      <c r="B34" s="72" t="s">
        <v>840</v>
      </c>
      <c r="C34" s="73" t="s">
        <v>1850</v>
      </c>
      <c r="D34" s="74" t="s">
        <v>482</v>
      </c>
      <c r="E34" s="103" t="str">
        <f>HYPERLINK("https://youtu.be/MGfdoJc1Jd4","channel 2")</f>
        <v>channel 2</v>
      </c>
    </row>
    <row r="35">
      <c r="B35" s="72" t="s">
        <v>482</v>
      </c>
      <c r="C35" s="73" t="s">
        <v>1851</v>
      </c>
      <c r="D35" s="74" t="s">
        <v>1739</v>
      </c>
      <c r="E35" s="103" t="str">
        <f>HYPERLINK("https://youtu.be/aYLpsllx5wQ","channel 1")</f>
        <v>channel 1</v>
      </c>
    </row>
    <row r="36">
      <c r="B36" s="72" t="s">
        <v>840</v>
      </c>
      <c r="C36" s="73" t="s">
        <v>1832</v>
      </c>
      <c r="D36" s="74" t="s">
        <v>1952</v>
      </c>
      <c r="E36" s="103" t="str">
        <f>HYPERLINK("https://youtu.be/MGfdoJc1Jd4","channel 2")</f>
        <v>channel 2</v>
      </c>
    </row>
    <row r="37">
      <c r="B37" s="72" t="s">
        <v>1739</v>
      </c>
      <c r="C37" s="75" t="s">
        <v>1832</v>
      </c>
      <c r="D37" s="74" t="s">
        <v>1953</v>
      </c>
      <c r="E37" s="103" t="str">
        <f>HYPERLINK("https://youtu.be/V4s6hTCctFU","channel 1")</f>
        <v>channel 1</v>
      </c>
    </row>
    <row r="38">
      <c r="B38" s="72" t="s">
        <v>482</v>
      </c>
      <c r="C38" s="75" t="s">
        <v>1836</v>
      </c>
      <c r="D38" s="74" t="s">
        <v>1952</v>
      </c>
      <c r="E38" s="103" t="str">
        <f>HYPERLINK("https://youtu.be/MGfdoJc1Jd4","channel 2")</f>
        <v>channel 2</v>
      </c>
    </row>
    <row r="39">
      <c r="B39" s="72" t="s">
        <v>840</v>
      </c>
      <c r="C39" s="75" t="s">
        <v>1828</v>
      </c>
      <c r="D39" s="74" t="s">
        <v>1953</v>
      </c>
      <c r="E39" s="103" t="str">
        <f>HYPERLINK("https://youtu.be/p3XX8ta9qbQ","channel 1")</f>
        <v>channel 1</v>
      </c>
    </row>
    <row r="40">
      <c r="B40" s="72" t="s">
        <v>1739</v>
      </c>
      <c r="C40" s="75" t="s">
        <v>1829</v>
      </c>
      <c r="D40" s="74" t="s">
        <v>1952</v>
      </c>
      <c r="E40" s="103" t="str">
        <f>HYPERLINK("https://youtu.be/7ac4iKDnkdM","channel 2")</f>
        <v>channel 2</v>
      </c>
    </row>
    <row r="41">
      <c r="B41" s="72" t="s">
        <v>482</v>
      </c>
      <c r="C41" s="75" t="s">
        <v>1840</v>
      </c>
      <c r="D41" s="74" t="s">
        <v>1953</v>
      </c>
      <c r="E41" s="103" t="str">
        <f>HYPERLINK("https://youtu.be/y39WgC9Kctw","channel 1")</f>
        <v>channel 1</v>
      </c>
    </row>
    <row r="42">
      <c r="B42" s="72" t="s">
        <v>1739</v>
      </c>
      <c r="C42" s="75" t="s">
        <v>1836</v>
      </c>
      <c r="D42" s="74" t="s">
        <v>840</v>
      </c>
      <c r="E42" s="103" t="str">
        <f>HYPERLINK("https://youtu.be/MGfdoJc1Jd4","channel 2")</f>
        <v>channel 2</v>
      </c>
    </row>
    <row r="43">
      <c r="B43" s="72" t="s">
        <v>1952</v>
      </c>
      <c r="C43" s="75" t="s">
        <v>1849</v>
      </c>
      <c r="D43" s="74" t="s">
        <v>1953</v>
      </c>
      <c r="E43" s="103" t="str">
        <f>HYPERLINK("https://youtu.be/cOiUs7xmAqc","channel 1")</f>
        <v>channel 1</v>
      </c>
    </row>
    <row r="44">
      <c r="B44" s="72" t="s">
        <v>482</v>
      </c>
      <c r="C44" s="75" t="s">
        <v>1860</v>
      </c>
      <c r="D44" s="74" t="s">
        <v>840</v>
      </c>
      <c r="E44" s="103" t="str">
        <f>HYPERLINK("https://youtu.be/MGfdoJc1Jd4","channel 2")</f>
        <v>channel 2</v>
      </c>
    </row>
    <row r="45">
      <c r="B45" s="29"/>
      <c r="C45" s="29"/>
      <c r="D45" s="29"/>
      <c r="E45" s="92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1378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1954</v>
      </c>
      <c r="C3" s="73" t="s">
        <v>1860</v>
      </c>
      <c r="D3" s="74" t="s">
        <v>799</v>
      </c>
      <c r="E3" s="103" t="str">
        <f>HYPERLINK("https://youtu.be/sberCAPaieU","channel 1")</f>
        <v>channel 1</v>
      </c>
    </row>
    <row r="4">
      <c r="B4" s="72" t="s">
        <v>808</v>
      </c>
      <c r="C4" s="73" t="s">
        <v>1832</v>
      </c>
      <c r="D4" s="74" t="s">
        <v>1955</v>
      </c>
      <c r="E4" s="103" t="str">
        <f>HYPERLINK("https://youtu.be/hu5zo6RbgOQ","channel 2")</f>
        <v>channel 2</v>
      </c>
    </row>
    <row r="5">
      <c r="B5" s="72" t="s">
        <v>1079</v>
      </c>
      <c r="C5" s="73" t="s">
        <v>1833</v>
      </c>
      <c r="D5" s="74" t="s">
        <v>1954</v>
      </c>
      <c r="E5" s="103" t="str">
        <f>HYPERLINK("https://youtu.be/rkWrgRT2fek","channel 1")</f>
        <v>channel 1</v>
      </c>
    </row>
    <row r="6">
      <c r="B6" s="72" t="s">
        <v>808</v>
      </c>
      <c r="C6" s="73" t="s">
        <v>1853</v>
      </c>
      <c r="D6" s="74" t="s">
        <v>799</v>
      </c>
      <c r="E6" s="103" t="str">
        <f>HYPERLINK("https://youtu.be/2-CFA3nzy6s","channel 2")</f>
        <v>channel 2</v>
      </c>
    </row>
    <row r="7">
      <c r="B7" s="72" t="s">
        <v>1079</v>
      </c>
      <c r="C7" s="73" t="s">
        <v>1840</v>
      </c>
      <c r="D7" s="74" t="s">
        <v>1955</v>
      </c>
      <c r="E7" s="103" t="str">
        <f>HYPERLINK("https://youtu.be/mrKoiyZZDTQ","channel 1")</f>
        <v>channel 1</v>
      </c>
    </row>
    <row r="8">
      <c r="B8" s="72" t="s">
        <v>808</v>
      </c>
      <c r="C8" s="73" t="s">
        <v>1854</v>
      </c>
      <c r="D8" s="74" t="s">
        <v>1954</v>
      </c>
      <c r="E8" s="103" t="str">
        <f>HYPERLINK("https://youtu.be/n6Pt2gYxxuI","channel 2")</f>
        <v>channel 2</v>
      </c>
    </row>
    <row r="9">
      <c r="B9" s="72" t="s">
        <v>1079</v>
      </c>
      <c r="C9" s="73" t="s">
        <v>1829</v>
      </c>
      <c r="D9" s="74" t="s">
        <v>799</v>
      </c>
      <c r="E9" s="80" t="s">
        <v>26</v>
      </c>
    </row>
    <row r="10">
      <c r="B10" s="72" t="s">
        <v>1955</v>
      </c>
      <c r="C10" s="73" t="s">
        <v>1832</v>
      </c>
      <c r="D10" s="74" t="s">
        <v>1954</v>
      </c>
      <c r="E10" s="103" t="str">
        <f>HYPERLINK("https://youtu.be/n6Pt2gYxxuI","channel 2")</f>
        <v>channel 2</v>
      </c>
    </row>
    <row r="11">
      <c r="B11" s="72" t="s">
        <v>1079</v>
      </c>
      <c r="C11" s="73" t="s">
        <v>1849</v>
      </c>
      <c r="D11" s="74" t="s">
        <v>808</v>
      </c>
      <c r="E11" s="103" t="str">
        <f>HYPERLINK("https://youtu.be/QWdxo-cO4ac","channel 1")</f>
        <v>channel 1</v>
      </c>
    </row>
    <row r="12">
      <c r="B12" s="72" t="s">
        <v>1955</v>
      </c>
      <c r="C12" s="73" t="s">
        <v>1832</v>
      </c>
      <c r="D12" s="74" t="s">
        <v>799</v>
      </c>
      <c r="E12" s="103" t="str">
        <f>HYPERLINK("https://youtu.be/n6Pt2gYxxuI","channel 2")</f>
        <v>channel 2</v>
      </c>
    </row>
    <row r="13">
      <c r="B13" s="72" t="s">
        <v>799</v>
      </c>
      <c r="C13" s="73" t="s">
        <v>1849</v>
      </c>
      <c r="D13" s="74" t="s">
        <v>1954</v>
      </c>
      <c r="E13" s="103" t="str">
        <f>HYPERLINK("https://youtu.be/q4jnLdxDQoY","channel 1")</f>
        <v>channel 1</v>
      </c>
    </row>
    <row r="14">
      <c r="B14" s="72" t="s">
        <v>1955</v>
      </c>
      <c r="C14" s="73" t="s">
        <v>1870</v>
      </c>
      <c r="D14" s="74" t="s">
        <v>808</v>
      </c>
      <c r="E14" s="103" t="str">
        <f>HYPERLINK("https://youtu.be/n6Pt2gYxxuI","channel 2")</f>
        <v>channel 2</v>
      </c>
    </row>
    <row r="15">
      <c r="B15" s="72" t="s">
        <v>1954</v>
      </c>
      <c r="C15" s="75" t="s">
        <v>1870</v>
      </c>
      <c r="D15" s="74" t="s">
        <v>1079</v>
      </c>
      <c r="E15" s="103" t="str">
        <f>HYPERLINK("https://youtu.be/M20-HrAtrRQ","channel 1")</f>
        <v>channel 1</v>
      </c>
    </row>
    <row r="16">
      <c r="B16" s="72" t="s">
        <v>799</v>
      </c>
      <c r="C16" s="75" t="s">
        <v>1907</v>
      </c>
      <c r="D16" s="74" t="s">
        <v>808</v>
      </c>
      <c r="E16" s="103" t="str">
        <f>HYPERLINK("https://youtu.be/n6Pt2gYxxuI","channel 2")</f>
        <v>channel 2</v>
      </c>
    </row>
    <row r="17">
      <c r="B17" s="72" t="s">
        <v>1955</v>
      </c>
      <c r="C17" s="75" t="s">
        <v>1834</v>
      </c>
      <c r="D17" s="74" t="s">
        <v>1079</v>
      </c>
      <c r="E17" s="103" t="str">
        <f>HYPERLINK("https://youtu.be/BKOmzvOCzLw","channel 1")</f>
        <v>channel 1</v>
      </c>
    </row>
    <row r="18">
      <c r="B18" s="72" t="s">
        <v>1954</v>
      </c>
      <c r="C18" s="75" t="s">
        <v>1831</v>
      </c>
      <c r="D18" s="74" t="s">
        <v>808</v>
      </c>
      <c r="E18" s="103" t="str">
        <f>HYPERLINK("https://youtu.be/n6Pt2gYxxuI","channel 2")</f>
        <v>channel 2</v>
      </c>
    </row>
    <row r="19">
      <c r="B19" s="72" t="s">
        <v>799</v>
      </c>
      <c r="C19" s="75" t="s">
        <v>1831</v>
      </c>
      <c r="D19" s="74" t="s">
        <v>1079</v>
      </c>
      <c r="E19" s="103" t="str">
        <f>HYPERLINK("https://youtu.be/OVBqJQ1xrro","channel 1")</f>
        <v>channel 1</v>
      </c>
    </row>
    <row r="20">
      <c r="B20" s="72" t="s">
        <v>1954</v>
      </c>
      <c r="C20" s="75" t="s">
        <v>1840</v>
      </c>
      <c r="D20" s="74" t="s">
        <v>1955</v>
      </c>
      <c r="E20" s="103" t="str">
        <f>HYPERLINK("https://youtu.be/n6Pt2gYxxuI","channel 2")</f>
        <v>channel 2</v>
      </c>
    </row>
    <row r="21">
      <c r="B21" s="72" t="s">
        <v>808</v>
      </c>
      <c r="C21" s="75" t="s">
        <v>1834</v>
      </c>
      <c r="D21" s="74" t="s">
        <v>1079</v>
      </c>
      <c r="E21" s="80" t="s">
        <v>26</v>
      </c>
    </row>
    <row r="22">
      <c r="B22" s="72" t="s">
        <v>799</v>
      </c>
      <c r="C22" s="75" t="s">
        <v>1833</v>
      </c>
      <c r="D22" s="74" t="s">
        <v>1955</v>
      </c>
      <c r="E22" s="103" t="str">
        <f>HYPERLINK("https://youtu.be/uYn4c5JfqCQ","channel 2")</f>
        <v>channel 2</v>
      </c>
    </row>
    <row r="23">
      <c r="B23" s="2" t="s">
        <v>1464</v>
      </c>
      <c r="C23" s="3"/>
      <c r="D23" s="4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1156</v>
      </c>
      <c r="C25" s="70" t="s">
        <v>1829</v>
      </c>
      <c r="D25" s="71" t="s">
        <v>1677</v>
      </c>
      <c r="E25" s="103" t="str">
        <f>HYPERLINK("https://youtu.be/jgL6f4uS1H8","channel 1")</f>
        <v>channel 1</v>
      </c>
    </row>
    <row r="26">
      <c r="B26" s="72" t="s">
        <v>534</v>
      </c>
      <c r="C26" s="73" t="s">
        <v>1840</v>
      </c>
      <c r="D26" s="74" t="s">
        <v>1855</v>
      </c>
      <c r="E26" s="103" t="str">
        <f>HYPERLINK("https://youtu.be/1zxv3eNnaCw","channel 2")</f>
        <v>channel 2</v>
      </c>
    </row>
    <row r="27">
      <c r="B27" s="72" t="s">
        <v>1389</v>
      </c>
      <c r="C27" s="73" t="s">
        <v>1830</v>
      </c>
      <c r="D27" s="74" t="s">
        <v>1156</v>
      </c>
      <c r="E27" s="103" t="str">
        <f>HYPERLINK("https://youtu.be/nw-ucSAsAro","channel 1")</f>
        <v>channel 1</v>
      </c>
    </row>
    <row r="28">
      <c r="B28" s="72" t="s">
        <v>534</v>
      </c>
      <c r="C28" s="73" t="s">
        <v>1847</v>
      </c>
      <c r="D28" s="74" t="s">
        <v>1677</v>
      </c>
      <c r="E28" s="103" t="str">
        <f>HYPERLINK("https://youtu.be/9qW35dEaORQ","channel 2")</f>
        <v>channel 2</v>
      </c>
    </row>
    <row r="29">
      <c r="B29" s="72" t="s">
        <v>1389</v>
      </c>
      <c r="C29" s="73" t="s">
        <v>1829</v>
      </c>
      <c r="D29" s="74" t="s">
        <v>1855</v>
      </c>
      <c r="E29" s="103" t="str">
        <f>HYPERLINK("https://youtu.be/geoO2zculC4","channel 1")</f>
        <v>channel 1</v>
      </c>
    </row>
    <row r="30">
      <c r="B30" s="72" t="s">
        <v>534</v>
      </c>
      <c r="C30" s="73" t="s">
        <v>1834</v>
      </c>
      <c r="D30" s="74" t="s">
        <v>1156</v>
      </c>
      <c r="E30" s="103" t="str">
        <f>HYPERLINK("https://youtu.be/NaOfrIa1-JU","channel 2")</f>
        <v>channel 2</v>
      </c>
    </row>
    <row r="31">
      <c r="B31" s="72" t="s">
        <v>1389</v>
      </c>
      <c r="C31" s="73" t="s">
        <v>1833</v>
      </c>
      <c r="D31" s="74" t="s">
        <v>1677</v>
      </c>
      <c r="E31" s="103" t="str">
        <f>HYPERLINK("https://youtu.be/xeng5vs-WDY","channel 1")</f>
        <v>channel 1</v>
      </c>
    </row>
    <row r="32">
      <c r="B32" s="72" t="s">
        <v>1855</v>
      </c>
      <c r="C32" s="73" t="s">
        <v>1861</v>
      </c>
      <c r="D32" s="74" t="s">
        <v>1156</v>
      </c>
      <c r="E32" s="103" t="str">
        <f>HYPERLINK("https://youtu.be/NaOfrIa1-JU","channel 2")</f>
        <v>channel 2</v>
      </c>
    </row>
    <row r="33">
      <c r="B33" s="72" t="s">
        <v>1389</v>
      </c>
      <c r="C33" s="73" t="s">
        <v>1826</v>
      </c>
      <c r="D33" s="74" t="s">
        <v>534</v>
      </c>
      <c r="E33" s="103" t="str">
        <f>HYPERLINK("https://youtu.be/b60YR-PFGc8","channel 1")</f>
        <v>channel 1</v>
      </c>
    </row>
    <row r="34">
      <c r="B34" s="72" t="s">
        <v>1855</v>
      </c>
      <c r="C34" s="73" t="s">
        <v>1829</v>
      </c>
      <c r="D34" s="74" t="s">
        <v>1677</v>
      </c>
      <c r="E34" s="103" t="str">
        <f>HYPERLINK("https://youtu.be/NaOfrIa1-JU","channel 2")</f>
        <v>channel 2</v>
      </c>
    </row>
    <row r="35">
      <c r="B35" s="72" t="s">
        <v>1677</v>
      </c>
      <c r="C35" s="73" t="s">
        <v>1837</v>
      </c>
      <c r="D35" s="74" t="s">
        <v>1156</v>
      </c>
      <c r="E35" s="103" t="str">
        <f>HYPERLINK("https://youtu.be/_6Kt2QOm8hg","channel 1")</f>
        <v>channel 1</v>
      </c>
    </row>
    <row r="36">
      <c r="B36" s="72" t="s">
        <v>1855</v>
      </c>
      <c r="C36" s="73" t="s">
        <v>1861</v>
      </c>
      <c r="D36" s="74" t="s">
        <v>534</v>
      </c>
      <c r="E36" s="103" t="str">
        <f>HYPERLINK("https://youtu.be/NaOfrIa1-JU","channel 2")</f>
        <v>channel 2</v>
      </c>
    </row>
    <row r="37">
      <c r="B37" s="72" t="s">
        <v>1156</v>
      </c>
      <c r="C37" s="75" t="s">
        <v>1837</v>
      </c>
      <c r="D37" s="74" t="s">
        <v>1389</v>
      </c>
      <c r="E37" s="103" t="str">
        <f>HYPERLINK("https://youtu.be/Yn65nuWQFmQ","channel 1")</f>
        <v>channel 1</v>
      </c>
    </row>
    <row r="38">
      <c r="B38" s="72" t="s">
        <v>1677</v>
      </c>
      <c r="C38" s="75" t="s">
        <v>1824</v>
      </c>
      <c r="D38" s="74" t="s">
        <v>534</v>
      </c>
      <c r="E38" s="103" t="str">
        <f>HYPERLINK("https://youtu.be/NaOfrIa1-JU","channel 2")</f>
        <v>channel 2</v>
      </c>
    </row>
    <row r="39">
      <c r="B39" s="72" t="s">
        <v>1855</v>
      </c>
      <c r="C39" s="75" t="s">
        <v>1850</v>
      </c>
      <c r="D39" s="74" t="s">
        <v>1389</v>
      </c>
      <c r="E39" s="103" t="str">
        <f>HYPERLINK("https://youtu.be/MtJIZzLOBrM","channel 1")</f>
        <v>channel 1</v>
      </c>
    </row>
    <row r="40">
      <c r="B40" s="72" t="s">
        <v>1156</v>
      </c>
      <c r="C40" s="75" t="s">
        <v>1845</v>
      </c>
      <c r="D40" s="74" t="s">
        <v>534</v>
      </c>
      <c r="E40" s="103" t="str">
        <f>HYPERLINK("https://youtu.be/NaOfrIa1-JU","channel 2")</f>
        <v>channel 2</v>
      </c>
    </row>
    <row r="41">
      <c r="B41" s="72" t="s">
        <v>1677</v>
      </c>
      <c r="C41" s="75" t="s">
        <v>1861</v>
      </c>
      <c r="D41" s="74" t="s">
        <v>1389</v>
      </c>
      <c r="E41" s="103" t="str">
        <f>HYPERLINK("https://youtu.be/LTduIWFIJVE","channel 1")</f>
        <v>channel 1</v>
      </c>
    </row>
    <row r="42">
      <c r="B42" s="72" t="s">
        <v>1156</v>
      </c>
      <c r="C42" s="75" t="s">
        <v>1829</v>
      </c>
      <c r="D42" s="74" t="s">
        <v>1855</v>
      </c>
      <c r="E42" s="103" t="str">
        <f>HYPERLINK("https://youtu.be/NaOfrIa1-JU","channel 2")</f>
        <v>channel 2</v>
      </c>
    </row>
    <row r="43">
      <c r="B43" s="72" t="s">
        <v>534</v>
      </c>
      <c r="C43" s="75" t="s">
        <v>1828</v>
      </c>
      <c r="D43" s="74" t="s">
        <v>1389</v>
      </c>
      <c r="E43" s="103" t="str">
        <f>HYPERLINK("https://youtu.be/t34juSmMhZY","channel 1")</f>
        <v>channel 1</v>
      </c>
    </row>
    <row r="44">
      <c r="B44" s="72" t="s">
        <v>1677</v>
      </c>
      <c r="C44" s="75" t="s">
        <v>1834</v>
      </c>
      <c r="D44" s="74" t="s">
        <v>1855</v>
      </c>
      <c r="E44" s="103" t="str">
        <f>HYPERLINK("https://youtu.be/NaOfrIa1-JU","channel 2")</f>
        <v>channel 2</v>
      </c>
    </row>
    <row r="45">
      <c r="B45" s="29"/>
      <c r="C45" s="29"/>
      <c r="D45" s="29"/>
      <c r="E45" s="29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113"/>
    </row>
    <row r="57">
      <c r="B57" s="29"/>
      <c r="C57" s="29"/>
      <c r="D57" s="29"/>
      <c r="E57" s="29"/>
      <c r="G57" s="114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1302</v>
      </c>
      <c r="C3" s="73" t="s">
        <v>1847</v>
      </c>
      <c r="D3" s="74" t="s">
        <v>1547</v>
      </c>
      <c r="E3" s="103" t="str">
        <f>HYPERLINK("https://youtu.be/7sitcaI1WeA","channel 1")</f>
        <v>channel 1</v>
      </c>
    </row>
    <row r="4">
      <c r="B4" s="72" t="s">
        <v>1198</v>
      </c>
      <c r="C4" s="73" t="s">
        <v>1882</v>
      </c>
      <c r="D4" s="74" t="s">
        <v>557</v>
      </c>
      <c r="E4" s="103" t="str">
        <f>HYPERLINK("https://youtu.be/YYQHti8q9GM","channel 2")</f>
        <v>channel 2</v>
      </c>
    </row>
    <row r="5">
      <c r="B5" s="72" t="s">
        <v>1486</v>
      </c>
      <c r="C5" s="73" t="s">
        <v>1834</v>
      </c>
      <c r="D5" s="74" t="s">
        <v>1302</v>
      </c>
      <c r="E5" s="103" t="str">
        <f>HYPERLINK("https://youtu.be/7sitcaI1WeA","channel 1")</f>
        <v>channel 1</v>
      </c>
    </row>
    <row r="6">
      <c r="B6" s="72" t="s">
        <v>1198</v>
      </c>
      <c r="C6" s="73" t="s">
        <v>1824</v>
      </c>
      <c r="D6" s="74" t="s">
        <v>1547</v>
      </c>
      <c r="E6" s="103" t="str">
        <f>HYPERLINK("https://youtu.be/zhCLgfRohgk","channel 2")</f>
        <v>channel 2</v>
      </c>
    </row>
    <row r="7">
      <c r="B7" s="72" t="s">
        <v>1486</v>
      </c>
      <c r="C7" s="73" t="s">
        <v>1833</v>
      </c>
      <c r="D7" s="74" t="s">
        <v>557</v>
      </c>
      <c r="E7" s="103" t="str">
        <f>HYPERLINK("https://youtu.be/z2GlhAxIHk4","channel 1")</f>
        <v>channel 1</v>
      </c>
    </row>
    <row r="8">
      <c r="B8" s="72" t="s">
        <v>1198</v>
      </c>
      <c r="C8" s="73" t="s">
        <v>1849</v>
      </c>
      <c r="D8" s="74" t="s">
        <v>1302</v>
      </c>
      <c r="E8" s="103" t="str">
        <f>HYPERLINK("https://youtu.be/t3udumdG5V0","channel 2")</f>
        <v>channel 2</v>
      </c>
    </row>
    <row r="9">
      <c r="B9" s="72" t="s">
        <v>1486</v>
      </c>
      <c r="C9" s="73" t="s">
        <v>1830</v>
      </c>
      <c r="D9" s="74" t="s">
        <v>1547</v>
      </c>
      <c r="E9" s="103" t="str">
        <f>HYPERLINK("https://youtu.be/NYp9zN0IZWw","channel 1")</f>
        <v>channel 1</v>
      </c>
    </row>
    <row r="10">
      <c r="B10" s="72" t="s">
        <v>557</v>
      </c>
      <c r="C10" s="73" t="s">
        <v>1851</v>
      </c>
      <c r="D10" s="74" t="s">
        <v>1302</v>
      </c>
      <c r="E10" s="103" t="str">
        <f>HYPERLINK("https://youtu.be/q0vUt14JhB4","channel 2")</f>
        <v>channel 2</v>
      </c>
    </row>
    <row r="11">
      <c r="B11" s="72" t="s">
        <v>1486</v>
      </c>
      <c r="C11" s="73" t="s">
        <v>1845</v>
      </c>
      <c r="D11" s="74" t="s">
        <v>1198</v>
      </c>
      <c r="E11" s="103" t="str">
        <f>HYPERLINK("https://youtu.be/NYp9zN0IZWw","channel 1")</f>
        <v>channel 1</v>
      </c>
    </row>
    <row r="12">
      <c r="B12" s="72" t="s">
        <v>557</v>
      </c>
      <c r="C12" s="73" t="s">
        <v>1891</v>
      </c>
      <c r="D12" s="74" t="s">
        <v>1547</v>
      </c>
      <c r="E12" s="103" t="str">
        <f>HYPERLINK("https://youtu.be/hib4Xg5K4i0","channel 2")</f>
        <v>channel 2</v>
      </c>
    </row>
    <row r="13">
      <c r="B13" s="72" t="s">
        <v>1547</v>
      </c>
      <c r="C13" s="73" t="s">
        <v>1849</v>
      </c>
      <c r="D13" s="74" t="s">
        <v>1302</v>
      </c>
      <c r="E13" s="103" t="str">
        <f>HYPERLINK("https://youtu.be/NYp9zN0IZWw","channel 1")</f>
        <v>channel 1</v>
      </c>
    </row>
    <row r="14">
      <c r="B14" s="72" t="s">
        <v>557</v>
      </c>
      <c r="C14" s="73" t="s">
        <v>1837</v>
      </c>
      <c r="D14" s="74" t="s">
        <v>1198</v>
      </c>
      <c r="E14" s="103" t="str">
        <f>HYPERLINK("https://youtu.be/cbhzt5K6sPE","channel 2")</f>
        <v>channel 2</v>
      </c>
    </row>
    <row r="15">
      <c r="B15" s="72" t="s">
        <v>1302</v>
      </c>
      <c r="C15" s="75" t="s">
        <v>1862</v>
      </c>
      <c r="D15" s="74" t="s">
        <v>1486</v>
      </c>
      <c r="E15" s="103" t="str">
        <f>HYPERLINK("https://youtu.be/NYp9zN0IZWw","channel 1")</f>
        <v>channel 1</v>
      </c>
    </row>
    <row r="16">
      <c r="B16" s="72" t="s">
        <v>1547</v>
      </c>
      <c r="C16" s="75" t="s">
        <v>1861</v>
      </c>
      <c r="D16" s="74" t="s">
        <v>1198</v>
      </c>
      <c r="E16" s="103" t="str">
        <f>HYPERLINK("https://youtu.be/eisH1T7pJ10","channel 2")</f>
        <v>channel 2</v>
      </c>
    </row>
    <row r="17">
      <c r="B17" s="72" t="s">
        <v>557</v>
      </c>
      <c r="C17" s="75" t="s">
        <v>1849</v>
      </c>
      <c r="D17" s="74" t="s">
        <v>1486</v>
      </c>
      <c r="E17" s="103" t="str">
        <f>HYPERLINK("https://youtu.be/NYp9zN0IZWw","channel 1")</f>
        <v>channel 1</v>
      </c>
    </row>
    <row r="18">
      <c r="B18" s="72" t="s">
        <v>1302</v>
      </c>
      <c r="C18" s="75" t="s">
        <v>1828</v>
      </c>
      <c r="D18" s="74" t="s">
        <v>1198</v>
      </c>
      <c r="E18" s="103" t="str">
        <f>HYPERLINK("https://youtu.be/koKZm7DBGvE","channel 2")</f>
        <v>channel 2</v>
      </c>
    </row>
    <row r="19">
      <c r="B19" s="72" t="s">
        <v>1547</v>
      </c>
      <c r="C19" s="75" t="s">
        <v>1824</v>
      </c>
      <c r="D19" s="74" t="s">
        <v>1486</v>
      </c>
      <c r="E19" s="103" t="str">
        <f>HYPERLINK("https://youtu.be/NYp9zN0IZWw","channel 1")</f>
        <v>channel 1</v>
      </c>
    </row>
    <row r="20">
      <c r="B20" s="72" t="s">
        <v>1302</v>
      </c>
      <c r="C20" s="75" t="s">
        <v>1845</v>
      </c>
      <c r="D20" s="74" t="s">
        <v>557</v>
      </c>
      <c r="E20" s="103" t="str">
        <f>HYPERLINK("https://youtu.be/UrSoDd0eU50","channel 2")</f>
        <v>channel 2</v>
      </c>
    </row>
    <row r="21">
      <c r="B21" s="72" t="s">
        <v>1198</v>
      </c>
      <c r="C21" s="75" t="s">
        <v>1917</v>
      </c>
      <c r="D21" s="74" t="s">
        <v>1486</v>
      </c>
      <c r="E21" s="103" t="str">
        <f>HYPERLINK("https://youtu.be/NYp9zN0IZWw","channel 1")</f>
        <v>channel 1</v>
      </c>
    </row>
    <row r="22">
      <c r="B22" s="72" t="s">
        <v>1547</v>
      </c>
      <c r="C22" s="75" t="s">
        <v>1861</v>
      </c>
      <c r="D22" s="74" t="s">
        <v>557</v>
      </c>
      <c r="E22" s="103" t="str">
        <f>HYPERLINK("https://youtu.be/ELWwVV5alPw","channel 2")</f>
        <v>channel 2</v>
      </c>
    </row>
    <row r="23">
      <c r="B23" s="2" t="s">
        <v>64</v>
      </c>
      <c r="C23" s="3"/>
      <c r="D23" s="4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1956</v>
      </c>
      <c r="C25" s="70" t="s">
        <v>1832</v>
      </c>
      <c r="D25" s="71" t="s">
        <v>1957</v>
      </c>
      <c r="E25" s="103" t="str">
        <f>HYPERLINK("https://youtu.be/v2ywudOoKnc","channel 1")</f>
        <v>channel 1</v>
      </c>
    </row>
    <row r="26">
      <c r="B26" s="72" t="s">
        <v>1958</v>
      </c>
      <c r="C26" s="73" t="s">
        <v>1959</v>
      </c>
      <c r="D26" s="74" t="s">
        <v>1417</v>
      </c>
      <c r="E26" s="103" t="str">
        <f>HYPERLINK("https://youtu.be/D_fzKSXPv-w","channel 2")</f>
        <v>channel 2</v>
      </c>
    </row>
    <row r="27">
      <c r="B27" s="72" t="s">
        <v>1944</v>
      </c>
      <c r="C27" s="73" t="s">
        <v>1862</v>
      </c>
      <c r="D27" s="74" t="s">
        <v>1956</v>
      </c>
      <c r="E27" s="103" t="str">
        <f>HYPERLINK("https://youtu.be/i5vCSmCnRks","channel 1")</f>
        <v>channel 1</v>
      </c>
    </row>
    <row r="28">
      <c r="B28" s="72" t="s">
        <v>1958</v>
      </c>
      <c r="C28" s="73" t="s">
        <v>1883</v>
      </c>
      <c r="D28" s="74" t="s">
        <v>1957</v>
      </c>
      <c r="E28" s="103" t="str">
        <f>HYPERLINK("https://youtu.be/M5pOcegqkyA","channel 2")</f>
        <v>channel 2</v>
      </c>
    </row>
    <row r="29">
      <c r="B29" s="72" t="s">
        <v>1944</v>
      </c>
      <c r="C29" s="73" t="s">
        <v>1832</v>
      </c>
      <c r="D29" s="74" t="s">
        <v>1417</v>
      </c>
      <c r="E29" s="103" t="str">
        <f>HYPERLINK("https://youtu.be/GShSmiFJjIw","channel 1")</f>
        <v>channel 1</v>
      </c>
    </row>
    <row r="30">
      <c r="B30" s="72" t="s">
        <v>1958</v>
      </c>
      <c r="C30" s="73" t="s">
        <v>1853</v>
      </c>
      <c r="D30" s="74" t="s">
        <v>1956</v>
      </c>
      <c r="E30" s="103" t="str">
        <f>HYPERLINK("https://youtu.be/NujINdTZKnA","channel 2")</f>
        <v>channel 2</v>
      </c>
    </row>
    <row r="31">
      <c r="B31" s="72" t="s">
        <v>1944</v>
      </c>
      <c r="C31" s="73" t="s">
        <v>1854</v>
      </c>
      <c r="D31" s="74" t="s">
        <v>1957</v>
      </c>
      <c r="E31" s="103" t="str">
        <f>HYPERLINK("https://youtu.be/GShSmiFJjIw","channel 1")</f>
        <v>channel 1</v>
      </c>
    </row>
    <row r="32">
      <c r="B32" s="72" t="s">
        <v>1417</v>
      </c>
      <c r="C32" s="73" t="s">
        <v>1877</v>
      </c>
      <c r="D32" s="74" t="s">
        <v>1956</v>
      </c>
      <c r="E32" s="103" t="str">
        <f>HYPERLINK("https://youtu.be/VqVjyZstf5I","channel 2")</f>
        <v>channel 2</v>
      </c>
    </row>
    <row r="33">
      <c r="B33" s="72" t="s">
        <v>1944</v>
      </c>
      <c r="C33" s="73" t="s">
        <v>1873</v>
      </c>
      <c r="D33" s="74" t="s">
        <v>1958</v>
      </c>
      <c r="E33" s="103" t="str">
        <f>HYPERLINK("https://youtu.be/GShSmiFJjIw","channel 1")</f>
        <v>channel 1</v>
      </c>
    </row>
    <row r="34">
      <c r="B34" s="72" t="s">
        <v>1417</v>
      </c>
      <c r="C34" s="73" t="s">
        <v>1845</v>
      </c>
      <c r="D34" s="74" t="s">
        <v>1957</v>
      </c>
      <c r="E34" s="103" t="str">
        <f>HYPERLINK("https://youtu.be/51KpmmUtrwg","channel 2")</f>
        <v>channel 2</v>
      </c>
    </row>
    <row r="35">
      <c r="B35" s="72" t="s">
        <v>1957</v>
      </c>
      <c r="C35" s="73" t="s">
        <v>1847</v>
      </c>
      <c r="D35" s="74" t="s">
        <v>1956</v>
      </c>
      <c r="E35" s="103" t="str">
        <f>HYPERLINK("https://youtu.be/GShSmiFJjIw","channel 1")</f>
        <v>channel 1</v>
      </c>
    </row>
    <row r="36">
      <c r="B36" s="72" t="s">
        <v>1417</v>
      </c>
      <c r="C36" s="73" t="s">
        <v>1852</v>
      </c>
      <c r="D36" s="74" t="s">
        <v>1958</v>
      </c>
      <c r="E36" s="103" t="str">
        <f>HYPERLINK("https://youtu.be/bNaE06cahZA","channel 2")</f>
        <v>channel 2</v>
      </c>
    </row>
    <row r="37">
      <c r="B37" s="72" t="s">
        <v>1956</v>
      </c>
      <c r="C37" s="75" t="s">
        <v>1834</v>
      </c>
      <c r="D37" s="74" t="s">
        <v>1944</v>
      </c>
      <c r="E37" s="103" t="str">
        <f>HYPERLINK("https://youtu.be/JREwuH7KYq0","channel 1")</f>
        <v>channel 1</v>
      </c>
    </row>
    <row r="38">
      <c r="B38" s="72" t="s">
        <v>1957</v>
      </c>
      <c r="C38" s="75" t="s">
        <v>1841</v>
      </c>
      <c r="D38" s="74" t="s">
        <v>1958</v>
      </c>
      <c r="E38" s="103" t="str">
        <f>HYPERLINK("https://youtu.be/c9JBtgrnCiw","channel 2")</f>
        <v>channel 2</v>
      </c>
    </row>
    <row r="39">
      <c r="B39" s="72" t="s">
        <v>1417</v>
      </c>
      <c r="C39" s="75" t="s">
        <v>1850</v>
      </c>
      <c r="D39" s="74" t="s">
        <v>1944</v>
      </c>
      <c r="E39" s="103" t="str">
        <f>HYPERLINK("https://youtu.be/7hMqnapXWJA","channel 1")</f>
        <v>channel 1</v>
      </c>
    </row>
    <row r="40">
      <c r="B40" s="72" t="s">
        <v>1956</v>
      </c>
      <c r="C40" s="75" t="s">
        <v>1837</v>
      </c>
      <c r="D40" s="74" t="s">
        <v>1958</v>
      </c>
      <c r="E40" s="103" t="str">
        <f>HYPERLINK("https://youtu.be/dm9DX64OZzw","channel 2")</f>
        <v>channel 2</v>
      </c>
    </row>
    <row r="41">
      <c r="B41" s="72" t="s">
        <v>1957</v>
      </c>
      <c r="C41" s="75" t="s">
        <v>1831</v>
      </c>
      <c r="D41" s="74" t="s">
        <v>1944</v>
      </c>
      <c r="E41" s="103" t="str">
        <f>HYPERLINK("https://youtu.be/gzA51NsJx2o","channel 1")</f>
        <v>channel 1</v>
      </c>
    </row>
    <row r="42">
      <c r="B42" s="72" t="s">
        <v>1956</v>
      </c>
      <c r="C42" s="75" t="s">
        <v>1828</v>
      </c>
      <c r="D42" s="74" t="s">
        <v>1417</v>
      </c>
      <c r="E42" s="80" t="s">
        <v>28</v>
      </c>
    </row>
    <row r="43">
      <c r="B43" s="72" t="s">
        <v>1958</v>
      </c>
      <c r="C43" s="75" t="s">
        <v>1840</v>
      </c>
      <c r="D43" s="74" t="s">
        <v>1944</v>
      </c>
      <c r="E43" s="103" t="str">
        <f>HYPERLINK("https://youtu.be/R27x2Ks_anA","channel 1")</f>
        <v>channel 1</v>
      </c>
    </row>
    <row r="44">
      <c r="B44" s="72" t="s">
        <v>1957</v>
      </c>
      <c r="C44" s="75" t="s">
        <v>1827</v>
      </c>
      <c r="D44" s="74" t="s">
        <v>1417</v>
      </c>
      <c r="E44" s="80" t="s">
        <v>28</v>
      </c>
    </row>
    <row r="45">
      <c r="B45" s="42" t="s">
        <v>112</v>
      </c>
      <c r="C45" s="3"/>
      <c r="D45" s="4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1488</v>
      </c>
      <c r="C47" s="73" t="s">
        <v>1861</v>
      </c>
      <c r="D47" s="86" t="s">
        <v>1960</v>
      </c>
      <c r="E47" s="103" t="str">
        <f>HYPERLINK("https://youtu.be/UfOQzyeJkmo","channel 1")</f>
        <v>channel 1</v>
      </c>
    </row>
    <row r="48">
      <c r="B48" s="72" t="s">
        <v>1814</v>
      </c>
      <c r="C48" s="73" t="s">
        <v>1834</v>
      </c>
      <c r="D48" s="74" t="s">
        <v>1324</v>
      </c>
      <c r="E48" s="103" t="str">
        <f>HYPERLINK("https://youtu.be/yIWUhD1yPMs","channel 2")</f>
        <v>channel 2</v>
      </c>
    </row>
    <row r="49">
      <c r="B49" s="72" t="s">
        <v>1961</v>
      </c>
      <c r="C49" s="73" t="s">
        <v>1901</v>
      </c>
      <c r="D49" s="74" t="s">
        <v>1488</v>
      </c>
      <c r="E49" s="103" t="str">
        <f>HYPERLINK("https://youtu.be/pQZ39U8SEs4","channel 1")</f>
        <v>channel 1</v>
      </c>
    </row>
    <row r="50">
      <c r="B50" s="72" t="s">
        <v>1814</v>
      </c>
      <c r="C50" s="73" t="s">
        <v>1826</v>
      </c>
      <c r="D50" s="86" t="s">
        <v>1960</v>
      </c>
      <c r="E50" s="103" t="str">
        <f>HYPERLINK("https://youtu.be/anXqr1hy-xQ","channel 2")</f>
        <v>channel 2</v>
      </c>
    </row>
    <row r="51">
      <c r="B51" s="72" t="s">
        <v>1961</v>
      </c>
      <c r="C51" s="73" t="s">
        <v>1832</v>
      </c>
      <c r="D51" s="74" t="s">
        <v>1324</v>
      </c>
      <c r="E51" s="103" t="str">
        <f>HYPERLINK("https://youtu.be/oXDm5XbbGiw","channel 1")</f>
        <v>channel 1</v>
      </c>
    </row>
    <row r="52">
      <c r="B52" s="72" t="s">
        <v>1814</v>
      </c>
      <c r="C52" s="73" t="s">
        <v>1861</v>
      </c>
      <c r="D52" s="74" t="s">
        <v>1488</v>
      </c>
      <c r="E52" s="103" t="str">
        <f>HYPERLINK("https://youtu.be/O_lsyOX-Rc8","channel 2")</f>
        <v>channel 2</v>
      </c>
    </row>
    <row r="53">
      <c r="B53" s="72" t="s">
        <v>1961</v>
      </c>
      <c r="C53" s="73" t="s">
        <v>1853</v>
      </c>
      <c r="D53" s="86" t="s">
        <v>1960</v>
      </c>
      <c r="E53" s="103" t="str">
        <f>HYPERLINK("https://youtu.be/zUu73KC7xKg","channel 1")</f>
        <v>channel 1</v>
      </c>
    </row>
    <row r="54">
      <c r="B54" s="72" t="s">
        <v>1324</v>
      </c>
      <c r="C54" s="73" t="s">
        <v>1854</v>
      </c>
      <c r="D54" s="74" t="s">
        <v>1488</v>
      </c>
      <c r="E54" s="103" t="str">
        <f>HYPERLINK("https://youtu.be/umS57buqhb8","channel 2")</f>
        <v>channel 2</v>
      </c>
    </row>
    <row r="55">
      <c r="B55" s="72" t="s">
        <v>1961</v>
      </c>
      <c r="C55" s="73" t="s">
        <v>1853</v>
      </c>
      <c r="D55" s="74" t="s">
        <v>1814</v>
      </c>
      <c r="E55" s="103" t="str">
        <f>HYPERLINK("https://youtu.be/4ef_Ao0HXig","channel 1")</f>
        <v>channel 1</v>
      </c>
    </row>
    <row r="56">
      <c r="B56" s="72" t="s">
        <v>1324</v>
      </c>
      <c r="C56" s="73" t="s">
        <v>1883</v>
      </c>
      <c r="D56" s="86" t="s">
        <v>1960</v>
      </c>
      <c r="E56" s="103" t="str">
        <f>HYPERLINK("https://youtu.be/n7wrf95CMGM","channel 2")</f>
        <v>channel 2</v>
      </c>
      <c r="F56" s="113"/>
    </row>
    <row r="57">
      <c r="B57" s="79" t="s">
        <v>1960</v>
      </c>
      <c r="C57" s="73" t="s">
        <v>1834</v>
      </c>
      <c r="D57" s="74" t="s">
        <v>1488</v>
      </c>
      <c r="E57" s="103" t="str">
        <f>HYPERLINK("https://youtu.be/UfSiC-MOY7U","channel 1")</f>
        <v>channel 1</v>
      </c>
      <c r="G57" s="114"/>
    </row>
    <row r="58">
      <c r="B58" s="72" t="s">
        <v>1324</v>
      </c>
      <c r="C58" s="73" t="s">
        <v>1834</v>
      </c>
      <c r="D58" s="74" t="s">
        <v>1814</v>
      </c>
      <c r="E58" s="103" t="str">
        <f>HYPERLINK("https://youtu.be/9pYwYyNQTQs","channel 2")</f>
        <v>channel 2</v>
      </c>
    </row>
    <row r="59">
      <c r="B59" s="72" t="s">
        <v>1488</v>
      </c>
      <c r="C59" s="75" t="s">
        <v>1851</v>
      </c>
      <c r="D59" s="74" t="s">
        <v>1961</v>
      </c>
      <c r="E59" s="103" t="str">
        <f>HYPERLINK("https://youtu.be/M4YLJSbIXoI","channel 1")</f>
        <v>channel 1</v>
      </c>
    </row>
    <row r="60">
      <c r="B60" s="79" t="s">
        <v>1960</v>
      </c>
      <c r="C60" s="75" t="s">
        <v>1845</v>
      </c>
      <c r="D60" s="74" t="s">
        <v>1814</v>
      </c>
      <c r="E60" s="103" t="str">
        <f>HYPERLINK("https://youtu.be/f0WwKYUUc6s","channel 2")</f>
        <v>channel 2</v>
      </c>
    </row>
    <row r="61">
      <c r="B61" s="72" t="s">
        <v>1324</v>
      </c>
      <c r="C61" s="75" t="s">
        <v>1870</v>
      </c>
      <c r="D61" s="74" t="s">
        <v>1961</v>
      </c>
      <c r="E61" s="103" t="str">
        <f>HYPERLINK("https://youtu.be/nohh0UvaEgg","channel 1")</f>
        <v>channel 1</v>
      </c>
    </row>
    <row r="62">
      <c r="B62" s="72" t="s">
        <v>1488</v>
      </c>
      <c r="C62" s="75" t="s">
        <v>1834</v>
      </c>
      <c r="D62" s="74" t="s">
        <v>1814</v>
      </c>
      <c r="E62" s="103" t="str">
        <f>HYPERLINK("https://youtu.be/8oXALz9H-u0","channel 2")</f>
        <v>channel 2</v>
      </c>
    </row>
    <row r="63">
      <c r="B63" s="79" t="s">
        <v>1960</v>
      </c>
      <c r="C63" s="75" t="s">
        <v>1851</v>
      </c>
      <c r="D63" s="74" t="s">
        <v>1961</v>
      </c>
      <c r="E63" s="103" t="str">
        <f>HYPERLINK("https://youtu.be/4B4iZgnmSK8","channel 1")</f>
        <v>channel 1</v>
      </c>
    </row>
    <row r="64">
      <c r="B64" s="72" t="s">
        <v>1488</v>
      </c>
      <c r="C64" s="75" t="s">
        <v>1831</v>
      </c>
      <c r="D64" s="74" t="s">
        <v>1324</v>
      </c>
      <c r="E64" s="103" t="str">
        <f>HYPERLINK("https://youtu.be/DMrAv6oiHDA","channel 2")</f>
        <v>channel 2</v>
      </c>
    </row>
    <row r="65">
      <c r="B65" s="72" t="s">
        <v>1814</v>
      </c>
      <c r="C65" s="75" t="s">
        <v>1828</v>
      </c>
      <c r="D65" s="74" t="s">
        <v>1961</v>
      </c>
      <c r="E65" s="103" t="str">
        <f>HYPERLINK("https://youtu.be/ZTyrKKZFH5k","channel 1")</f>
        <v>channel 1</v>
      </c>
    </row>
    <row r="66">
      <c r="B66" s="79" t="s">
        <v>1960</v>
      </c>
      <c r="C66" s="75" t="s">
        <v>1904</v>
      </c>
      <c r="D66" s="74" t="s">
        <v>1324</v>
      </c>
      <c r="E66" s="103" t="str">
        <f>HYPERLINK("https://youtu.be/DGqPGZqMmz8","channel 2")</f>
        <v>channel 2</v>
      </c>
    </row>
    <row r="67">
      <c r="B67" s="42" t="s">
        <v>134</v>
      </c>
      <c r="C67" s="3"/>
      <c r="D67" s="4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1962</v>
      </c>
      <c r="C69" s="73" t="s">
        <v>1840</v>
      </c>
      <c r="D69" s="86" t="s">
        <v>1428</v>
      </c>
      <c r="E69" s="103" t="str">
        <f>HYPERLINK("https://youtu.be/z4KaC8oiWHo","channel 1")</f>
        <v>channel 1</v>
      </c>
    </row>
    <row r="70">
      <c r="B70" s="72" t="s">
        <v>1354</v>
      </c>
      <c r="C70" s="73" t="s">
        <v>1870</v>
      </c>
      <c r="D70" s="74" t="s">
        <v>1620</v>
      </c>
      <c r="E70" s="103" t="str">
        <f>HYPERLINK("https://youtu.be/SYdLdIT0sIE","channel 2")</f>
        <v>channel 2</v>
      </c>
    </row>
    <row r="71">
      <c r="B71" s="72" t="s">
        <v>166</v>
      </c>
      <c r="C71" s="73" t="s">
        <v>1827</v>
      </c>
      <c r="D71" s="74" t="s">
        <v>1962</v>
      </c>
      <c r="E71" s="103" t="str">
        <f>HYPERLINK("https://youtu.be/7AVFf95wY2g","channel 1")</f>
        <v>channel 1</v>
      </c>
    </row>
    <row r="72">
      <c r="B72" s="72" t="s">
        <v>1354</v>
      </c>
      <c r="C72" s="73" t="s">
        <v>1824</v>
      </c>
      <c r="D72" s="86" t="s">
        <v>1428</v>
      </c>
      <c r="E72" s="103" t="str">
        <f>HYPERLINK("https://youtu.be/7pVDl15nSFM","channel 2")</f>
        <v>channel 2</v>
      </c>
    </row>
    <row r="73">
      <c r="B73" s="72" t="s">
        <v>166</v>
      </c>
      <c r="C73" s="73" t="s">
        <v>1829</v>
      </c>
      <c r="D73" s="74" t="s">
        <v>1620</v>
      </c>
      <c r="E73" s="103" t="str">
        <f>HYPERLINK("https://youtu.be/IJa2rLhaQ1g","channel 1")</f>
        <v>channel 1</v>
      </c>
    </row>
    <row r="74">
      <c r="B74" s="72" t="s">
        <v>1354</v>
      </c>
      <c r="C74" s="73" t="s">
        <v>1861</v>
      </c>
      <c r="D74" s="74" t="s">
        <v>1962</v>
      </c>
      <c r="E74" s="103" t="str">
        <f>HYPERLINK("https://youtu.be/WHPQU_RSqWE","channel 2")</f>
        <v>channel 2</v>
      </c>
    </row>
    <row r="75">
      <c r="B75" s="72" t="s">
        <v>166</v>
      </c>
      <c r="C75" s="73" t="s">
        <v>1849</v>
      </c>
      <c r="D75" s="86" t="s">
        <v>1428</v>
      </c>
      <c r="E75" s="103" t="str">
        <f>HYPERLINK("https://youtu.be/Ssm3D5_KswI","channel 1")</f>
        <v>channel 1</v>
      </c>
    </row>
    <row r="76">
      <c r="B76" s="72" t="s">
        <v>1620</v>
      </c>
      <c r="C76" s="73" t="s">
        <v>1831</v>
      </c>
      <c r="D76" s="74" t="s">
        <v>1962</v>
      </c>
      <c r="E76" s="103" t="str">
        <f>HYPERLINK("https://youtu.be/K_DrKLrL0w8","channel 2")</f>
        <v>channel 2</v>
      </c>
    </row>
    <row r="77">
      <c r="B77" s="72" t="s">
        <v>166</v>
      </c>
      <c r="C77" s="73" t="s">
        <v>1836</v>
      </c>
      <c r="D77" s="74" t="s">
        <v>1354</v>
      </c>
      <c r="E77" s="103" t="str">
        <f>HYPERLINK("https://youtu.be/V3nSfC-u_T8","channel 1")</f>
        <v>channel 1</v>
      </c>
    </row>
    <row r="78">
      <c r="B78" s="72" t="s">
        <v>1620</v>
      </c>
      <c r="C78" s="73" t="s">
        <v>1849</v>
      </c>
      <c r="D78" s="86" t="s">
        <v>1428</v>
      </c>
      <c r="E78" s="103" t="str">
        <f>HYPERLINK("https://youtu.be/hIgqd13mguY","channel 2")</f>
        <v>channel 2</v>
      </c>
    </row>
    <row r="79">
      <c r="B79" s="79" t="s">
        <v>1428</v>
      </c>
      <c r="C79" s="73" t="s">
        <v>1827</v>
      </c>
      <c r="D79" s="74" t="s">
        <v>1962</v>
      </c>
      <c r="E79" s="103" t="str">
        <f>HYPERLINK("https://youtu.be/-wY_Q0uxiHQ","channel 1")</f>
        <v>channel 1</v>
      </c>
    </row>
    <row r="80">
      <c r="B80" s="72" t="s">
        <v>1620</v>
      </c>
      <c r="C80" s="73" t="s">
        <v>1824</v>
      </c>
      <c r="D80" s="74" t="s">
        <v>1354</v>
      </c>
      <c r="E80" s="103" t="str">
        <f>HYPERLINK("https://youtu.be/s1ut1VqXeQk","channel 2")</f>
        <v>channel 2</v>
      </c>
    </row>
    <row r="81">
      <c r="B81" s="72" t="s">
        <v>1962</v>
      </c>
      <c r="C81" s="75" t="s">
        <v>1850</v>
      </c>
      <c r="D81" s="74" t="s">
        <v>166</v>
      </c>
      <c r="E81" s="103" t="str">
        <f>HYPERLINK("https://youtu.be/mUESjXE8j7k","channel 1")</f>
        <v>channel 1</v>
      </c>
    </row>
    <row r="82">
      <c r="B82" s="79" t="s">
        <v>1428</v>
      </c>
      <c r="C82" s="75" t="s">
        <v>1837</v>
      </c>
      <c r="D82" s="74" t="s">
        <v>1354</v>
      </c>
      <c r="E82" s="103" t="str">
        <f>HYPERLINK("https://youtu.be/4RrhiYZ0myU","channel 2")</f>
        <v>channel 2</v>
      </c>
    </row>
    <row r="83">
      <c r="B83" s="72" t="s">
        <v>1620</v>
      </c>
      <c r="C83" s="75" t="s">
        <v>1837</v>
      </c>
      <c r="D83" s="74" t="s">
        <v>166</v>
      </c>
      <c r="E83" s="103" t="str">
        <f>HYPERLINK("https://youtu.be/4W2qRkejrlM","channel 1")</f>
        <v>channel 1</v>
      </c>
    </row>
    <row r="84">
      <c r="B84" s="72" t="s">
        <v>1962</v>
      </c>
      <c r="C84" s="75" t="s">
        <v>1849</v>
      </c>
      <c r="D84" s="74" t="s">
        <v>1354</v>
      </c>
      <c r="E84" s="103" t="str">
        <f>HYPERLINK("https://youtu.be/H5hWyoKngLo","channel 2")</f>
        <v>channel 2</v>
      </c>
    </row>
    <row r="85">
      <c r="B85" s="79" t="s">
        <v>1428</v>
      </c>
      <c r="C85" s="75" t="s">
        <v>1963</v>
      </c>
      <c r="D85" s="74" t="s">
        <v>166</v>
      </c>
      <c r="E85" s="103" t="str">
        <f>HYPERLINK("https://youtu.be/pe0vSCRe7es","channel 1")</f>
        <v>channel 1</v>
      </c>
    </row>
    <row r="86">
      <c r="B86" s="72" t="s">
        <v>1962</v>
      </c>
      <c r="C86" s="75" t="s">
        <v>1853</v>
      </c>
      <c r="D86" s="74" t="s">
        <v>1620</v>
      </c>
      <c r="E86" s="103" t="str">
        <f>HYPERLINK("https://youtu.be/ewAIYXtfWaE","channel 2")</f>
        <v>channel 2</v>
      </c>
    </row>
    <row r="87">
      <c r="B87" s="72" t="s">
        <v>1354</v>
      </c>
      <c r="C87" s="75" t="s">
        <v>1845</v>
      </c>
      <c r="D87" s="74" t="s">
        <v>166</v>
      </c>
      <c r="E87" s="103" t="str">
        <f>HYPERLINK("https://youtu.be/k9P_jUVW79A","channel 1")</f>
        <v>channel 1</v>
      </c>
    </row>
    <row r="88">
      <c r="B88" s="79" t="s">
        <v>1428</v>
      </c>
      <c r="C88" s="75" t="s">
        <v>1853</v>
      </c>
      <c r="D88" s="74" t="s">
        <v>1620</v>
      </c>
      <c r="E88" s="103" t="str">
        <f>HYPERLINK("https://youtu.be/s8BLTiWiOq4","channel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1880</v>
      </c>
      <c r="C1" s="59"/>
      <c r="D1" s="60"/>
      <c r="E1" s="78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1396</v>
      </c>
      <c r="C3" s="73" t="s">
        <v>1845</v>
      </c>
      <c r="D3" s="74" t="s">
        <v>1456</v>
      </c>
      <c r="E3" s="103" t="str">
        <f>HYPERLINK("https://youtu.be/zmUotZcn_mU","channel 1")</f>
        <v>channel 1</v>
      </c>
    </row>
    <row r="4">
      <c r="B4" s="72" t="s">
        <v>1680</v>
      </c>
      <c r="C4" s="73" t="s">
        <v>1840</v>
      </c>
      <c r="D4" s="74" t="s">
        <v>1964</v>
      </c>
      <c r="E4" s="103" t="str">
        <f>HYPERLINK("https://youtu.be/YI486z3Kx-I","channel 2")</f>
        <v>channel 2</v>
      </c>
    </row>
    <row r="5">
      <c r="B5" s="72" t="s">
        <v>1773</v>
      </c>
      <c r="C5" s="73" t="s">
        <v>1849</v>
      </c>
      <c r="D5" s="74" t="s">
        <v>1396</v>
      </c>
      <c r="E5" s="103" t="str">
        <f>HYPERLINK("https://youtu.be/Guh7EZPHi3U","channel 1")</f>
        <v>channel 1</v>
      </c>
    </row>
    <row r="6">
      <c r="B6" s="72" t="s">
        <v>1680</v>
      </c>
      <c r="C6" s="73" t="s">
        <v>1824</v>
      </c>
      <c r="D6" s="74" t="s">
        <v>1456</v>
      </c>
      <c r="E6" s="103" t="str">
        <f>HYPERLINK("https://youtu.be/2ara53wlRW8","channel 2")</f>
        <v>channel 2</v>
      </c>
    </row>
    <row r="7">
      <c r="B7" s="72" t="s">
        <v>1773</v>
      </c>
      <c r="C7" s="73" t="s">
        <v>1883</v>
      </c>
      <c r="D7" s="74" t="s">
        <v>1964</v>
      </c>
      <c r="E7" s="103" t="str">
        <f>HYPERLINK("https://youtu.be/uIUq5ZRN5js","channel 1")</f>
        <v>channel 1</v>
      </c>
    </row>
    <row r="8">
      <c r="B8" s="72" t="s">
        <v>1680</v>
      </c>
      <c r="C8" s="73" t="s">
        <v>1834</v>
      </c>
      <c r="D8" s="74" t="s">
        <v>1396</v>
      </c>
      <c r="E8" s="103" t="str">
        <f>HYPERLINK("https://youtu.be/OAcwNPvtzSU","channel 2")</f>
        <v>channel 2</v>
      </c>
    </row>
    <row r="9">
      <c r="B9" s="72" t="s">
        <v>1773</v>
      </c>
      <c r="C9" s="73" t="s">
        <v>1837</v>
      </c>
      <c r="D9" s="74" t="s">
        <v>1456</v>
      </c>
      <c r="E9" s="103" t="str">
        <f>HYPERLINK("https://youtu.be/ipwhxzOsKJE","channel 1")</f>
        <v>channel 1</v>
      </c>
    </row>
    <row r="10">
      <c r="B10" s="72" t="s">
        <v>1964</v>
      </c>
      <c r="C10" s="73" t="s">
        <v>1849</v>
      </c>
      <c r="D10" s="74" t="s">
        <v>1396</v>
      </c>
      <c r="E10" s="103" t="str">
        <f>HYPERLINK("https://youtu.be/5mXtNauVIII","channel 2")</f>
        <v>channel 2</v>
      </c>
    </row>
    <row r="11">
      <c r="B11" s="72" t="s">
        <v>1773</v>
      </c>
      <c r="C11" s="73" t="s">
        <v>1837</v>
      </c>
      <c r="D11" s="74" t="s">
        <v>1680</v>
      </c>
      <c r="E11" s="103" t="str">
        <f>HYPERLINK("https://youtu.be/Ykd3uja5OL8","channel 1")</f>
        <v>channel 1</v>
      </c>
    </row>
    <row r="12">
      <c r="B12" s="72" t="s">
        <v>1964</v>
      </c>
      <c r="C12" s="73" t="s">
        <v>1828</v>
      </c>
      <c r="D12" s="74" t="s">
        <v>1456</v>
      </c>
      <c r="E12" s="103" t="str">
        <f>HYPERLINK("https://youtu.be/P7wqPdkeAQA","channel 2")</f>
        <v>channel 2</v>
      </c>
    </row>
    <row r="13">
      <c r="B13" s="72" t="s">
        <v>1456</v>
      </c>
      <c r="C13" s="73" t="s">
        <v>1845</v>
      </c>
      <c r="D13" s="74" t="s">
        <v>1396</v>
      </c>
      <c r="E13" s="103" t="str">
        <f>HYPERLINK("https://youtu.be/vWieOP_fGOU","channel 1")</f>
        <v>channel 1</v>
      </c>
    </row>
    <row r="14">
      <c r="B14" s="72" t="s">
        <v>1964</v>
      </c>
      <c r="C14" s="73" t="s">
        <v>1828</v>
      </c>
      <c r="D14" s="74" t="s">
        <v>1680</v>
      </c>
      <c r="E14" s="103" t="str">
        <f>HYPERLINK("https://youtu.be/P7wqPdkeAQA","channel 2")</f>
        <v>channel 2</v>
      </c>
    </row>
    <row r="15">
      <c r="B15" s="72" t="s">
        <v>1396</v>
      </c>
      <c r="C15" s="75" t="s">
        <v>1845</v>
      </c>
      <c r="D15" s="74" t="s">
        <v>1773</v>
      </c>
      <c r="E15" s="103" t="str">
        <f>HYPERLINK("https://youtu.be/3ak_oYpnmNI","channel 1")</f>
        <v>channel 1</v>
      </c>
    </row>
    <row r="16">
      <c r="B16" s="72" t="s">
        <v>1456</v>
      </c>
      <c r="C16" s="75" t="s">
        <v>1833</v>
      </c>
      <c r="D16" s="74" t="s">
        <v>1680</v>
      </c>
      <c r="E16" s="103" t="str">
        <f>HYPERLINK("https://youtu.be/P7wqPdkeAQA","channel 2")</f>
        <v>channel 2</v>
      </c>
    </row>
    <row r="17">
      <c r="B17" s="72" t="s">
        <v>1964</v>
      </c>
      <c r="C17" s="75" t="s">
        <v>1851</v>
      </c>
      <c r="D17" s="74" t="s">
        <v>1773</v>
      </c>
      <c r="E17" s="103" t="str">
        <f>HYPERLINK("https://youtu.be/iVLl8BZ9Mag","channel 1")</f>
        <v>channel 1</v>
      </c>
    </row>
    <row r="18">
      <c r="B18" s="72" t="s">
        <v>1396</v>
      </c>
      <c r="C18" s="75" t="s">
        <v>1832</v>
      </c>
      <c r="D18" s="74" t="s">
        <v>1680</v>
      </c>
      <c r="E18" s="103" t="str">
        <f>HYPERLINK("https://youtu.be/P7wqPdkeAQA","channel 2")</f>
        <v>channel 2</v>
      </c>
    </row>
    <row r="19">
      <c r="B19" s="72" t="s">
        <v>1456</v>
      </c>
      <c r="C19" s="75" t="s">
        <v>1824</v>
      </c>
      <c r="D19" s="74" t="s">
        <v>1773</v>
      </c>
      <c r="E19" s="103" t="str">
        <f>HYPERLINK("https://youtu.be/hVIH0wAC7fY","channel 1")</f>
        <v>channel 1</v>
      </c>
    </row>
    <row r="20">
      <c r="B20" s="72" t="s">
        <v>1396</v>
      </c>
      <c r="C20" s="75" t="s">
        <v>1860</v>
      </c>
      <c r="D20" s="74" t="s">
        <v>1964</v>
      </c>
      <c r="E20" s="103" t="str">
        <f>HYPERLINK("https://youtu.be/P7wqPdkeAQA","channel 2")</f>
        <v>channel 2</v>
      </c>
    </row>
    <row r="21">
      <c r="B21" s="72" t="s">
        <v>1680</v>
      </c>
      <c r="C21" s="75" t="s">
        <v>1837</v>
      </c>
      <c r="D21" s="74" t="s">
        <v>1773</v>
      </c>
      <c r="E21" s="103" t="str">
        <f>HYPERLINK("https://youtu.be/nYWNgsiCkSo","channel 1")</f>
        <v>channel 1</v>
      </c>
    </row>
    <row r="22">
      <c r="B22" s="72" t="s">
        <v>1456</v>
      </c>
      <c r="C22" s="75" t="s">
        <v>1847</v>
      </c>
      <c r="D22" s="74" t="s">
        <v>1964</v>
      </c>
      <c r="E22" s="103" t="str">
        <f>HYPERLINK("https://youtu.be/P7wqPdkeAQA","channel 2")</f>
        <v>channel 2</v>
      </c>
    </row>
    <row r="23">
      <c r="B23" s="6" t="s">
        <v>773</v>
      </c>
      <c r="C23" s="3"/>
      <c r="D23" s="4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1965</v>
      </c>
      <c r="C25" s="73" t="s">
        <v>1834</v>
      </c>
      <c r="D25" s="74" t="s">
        <v>1518</v>
      </c>
      <c r="E25" s="103" t="str">
        <f>HYPERLINK("https://youtu.be/oKg8n2JhBjU","channel 1")</f>
        <v>channel 1</v>
      </c>
    </row>
    <row r="26">
      <c r="B26" s="72" t="s">
        <v>978</v>
      </c>
      <c r="C26" s="73" t="s">
        <v>1840</v>
      </c>
      <c r="D26" s="74" t="s">
        <v>1966</v>
      </c>
      <c r="E26" s="103" t="str">
        <f>HYPERLINK("https://youtu.be/yU5kmP-O4VM","channel 2")</f>
        <v>channel 2</v>
      </c>
    </row>
    <row r="27">
      <c r="B27" s="72" t="s">
        <v>1967</v>
      </c>
      <c r="C27" s="73" t="s">
        <v>1870</v>
      </c>
      <c r="D27" s="74" t="s">
        <v>1965</v>
      </c>
      <c r="E27" s="103" t="str">
        <f>HYPERLINK("https://youtu.be/8hty9VDPvlE","channel 1")</f>
        <v>channel 1</v>
      </c>
    </row>
    <row r="28">
      <c r="B28" s="72" t="s">
        <v>978</v>
      </c>
      <c r="C28" s="73" t="s">
        <v>1835</v>
      </c>
      <c r="D28" s="74" t="s">
        <v>1518</v>
      </c>
      <c r="E28" s="103" t="str">
        <f>HYPERLINK("https://youtu.be/mPUJ7GRWeMc","channel 2")</f>
        <v>channel 2</v>
      </c>
    </row>
    <row r="29">
      <c r="B29" s="72" t="s">
        <v>1967</v>
      </c>
      <c r="C29" s="73" t="s">
        <v>1845</v>
      </c>
      <c r="D29" s="74" t="s">
        <v>1966</v>
      </c>
      <c r="E29" s="103" t="str">
        <f>HYPERLINK("https://youtu.be/Iay9SbsXCes","channel 1")</f>
        <v>channel 1</v>
      </c>
    </row>
    <row r="30">
      <c r="B30" s="72" t="s">
        <v>978</v>
      </c>
      <c r="C30" s="73" t="s">
        <v>1834</v>
      </c>
      <c r="D30" s="74" t="s">
        <v>1965</v>
      </c>
      <c r="E30" s="103" t="str">
        <f>HYPERLINK("https://youtu.be/KIULdyl1kcs","channel 2")</f>
        <v>channel 2</v>
      </c>
    </row>
    <row r="31">
      <c r="B31" s="72" t="s">
        <v>1967</v>
      </c>
      <c r="C31" s="73" t="s">
        <v>1840</v>
      </c>
      <c r="D31" s="74" t="s">
        <v>1518</v>
      </c>
      <c r="E31" s="103" t="str">
        <f>HYPERLINK("https://youtu.be/d_PYFlEm3hk","channel 1")</f>
        <v>channel 1</v>
      </c>
    </row>
    <row r="32">
      <c r="B32" s="72" t="s">
        <v>1966</v>
      </c>
      <c r="C32" s="73" t="s">
        <v>1828</v>
      </c>
      <c r="D32" s="74" t="s">
        <v>1965</v>
      </c>
      <c r="E32" s="103" t="str">
        <f>HYPERLINK("https://youtu.be/KIULdyl1kcs","channel 2")</f>
        <v>channel 2</v>
      </c>
    </row>
    <row r="33">
      <c r="B33" s="72" t="s">
        <v>1967</v>
      </c>
      <c r="C33" s="73" t="s">
        <v>1837</v>
      </c>
      <c r="D33" s="74" t="s">
        <v>978</v>
      </c>
      <c r="E33" s="103" t="str">
        <f>HYPERLINK("https://youtu.be/FtNuAxWYD3c","channel 1")</f>
        <v>channel 1</v>
      </c>
    </row>
    <row r="34">
      <c r="B34" s="72" t="s">
        <v>1966</v>
      </c>
      <c r="C34" s="73" t="s">
        <v>1834</v>
      </c>
      <c r="D34" s="74" t="s">
        <v>1518</v>
      </c>
      <c r="E34" s="103" t="str">
        <f>HYPERLINK("https://youtu.be/KIULdyl1kcs","channel 2")</f>
        <v>channel 2</v>
      </c>
    </row>
    <row r="35">
      <c r="B35" s="72" t="s">
        <v>1518</v>
      </c>
      <c r="C35" s="73" t="s">
        <v>1835</v>
      </c>
      <c r="D35" s="74" t="s">
        <v>1965</v>
      </c>
      <c r="E35" s="103" t="str">
        <f>HYPERLINK("https://youtu.be/bUNo537RzcQ","channel 1")</f>
        <v>channel 1</v>
      </c>
    </row>
    <row r="36">
      <c r="B36" s="72" t="s">
        <v>1966</v>
      </c>
      <c r="C36" s="73" t="s">
        <v>1851</v>
      </c>
      <c r="D36" s="74" t="s">
        <v>978</v>
      </c>
      <c r="E36" s="103" t="str">
        <f>HYPERLINK("https://youtu.be/ErB25Z0YNU8","channel 2")</f>
        <v>channel 2</v>
      </c>
    </row>
    <row r="37">
      <c r="B37" s="72" t="s">
        <v>1965</v>
      </c>
      <c r="C37" s="75" t="s">
        <v>1828</v>
      </c>
      <c r="D37" s="74" t="s">
        <v>1967</v>
      </c>
      <c r="E37" s="103" t="str">
        <f>HYPERLINK("https://youtu.be/fM2D1vWBnSY","channel 1")</f>
        <v>channel 1</v>
      </c>
    </row>
    <row r="38">
      <c r="B38" s="72" t="s">
        <v>1518</v>
      </c>
      <c r="C38" s="75" t="s">
        <v>1832</v>
      </c>
      <c r="D38" s="74" t="s">
        <v>978</v>
      </c>
      <c r="E38" s="103" t="str">
        <f>HYPERLINK("https://youtu.be/ErB25Z0YNU8","channel 2")</f>
        <v>channel 2</v>
      </c>
    </row>
    <row r="39">
      <c r="B39" s="72" t="s">
        <v>1966</v>
      </c>
      <c r="C39" s="75" t="s">
        <v>1907</v>
      </c>
      <c r="D39" s="74" t="s">
        <v>1967</v>
      </c>
      <c r="E39" s="103" t="str">
        <f>HYPERLINK("https://youtu.be/FDb4w4WgEjo","channel 1")</f>
        <v>channel 1</v>
      </c>
    </row>
    <row r="40">
      <c r="B40" s="72" t="s">
        <v>1965</v>
      </c>
      <c r="C40" s="75" t="s">
        <v>1831</v>
      </c>
      <c r="D40" s="74" t="s">
        <v>978</v>
      </c>
      <c r="E40" s="103" t="str">
        <f>HYPERLINK("https://youtu.be/ErB25Z0YNU8","channel 2")</f>
        <v>channel 2</v>
      </c>
    </row>
    <row r="41">
      <c r="B41" s="72" t="s">
        <v>1518</v>
      </c>
      <c r="C41" s="75" t="s">
        <v>1824</v>
      </c>
      <c r="D41" s="74" t="s">
        <v>1967</v>
      </c>
      <c r="E41" s="103" t="str">
        <f>HYPERLINK("https://youtu.be/y2OTlpFdA3k","channel 1")</f>
        <v>channel 1</v>
      </c>
    </row>
    <row r="42">
      <c r="B42" s="72" t="s">
        <v>1965</v>
      </c>
      <c r="C42" s="75" t="s">
        <v>1920</v>
      </c>
      <c r="D42" s="74" t="s">
        <v>1966</v>
      </c>
      <c r="E42" s="103" t="str">
        <f>HYPERLINK("https://youtu.be/RPBNQ0WF2eU","channel 2")</f>
        <v>channel 2</v>
      </c>
    </row>
    <row r="43">
      <c r="B43" s="72" t="s">
        <v>978</v>
      </c>
      <c r="C43" s="75" t="s">
        <v>1840</v>
      </c>
      <c r="D43" s="74" t="s">
        <v>1967</v>
      </c>
      <c r="E43" s="103" t="str">
        <f>HYPERLINK("https://youtu.be/FgaFeIR55CM","channel 1")</f>
        <v>channel 1</v>
      </c>
    </row>
    <row r="44">
      <c r="B44" s="72" t="s">
        <v>1518</v>
      </c>
      <c r="C44" s="75" t="s">
        <v>1834</v>
      </c>
      <c r="D44" s="74" t="s">
        <v>1966</v>
      </c>
      <c r="E44" s="103" t="str">
        <f>HYPERLINK("https://youtu.be/jFa5faikhMs","channel 2")</f>
        <v>channel 2</v>
      </c>
    </row>
    <row r="45">
      <c r="B45" s="121" t="s">
        <v>971</v>
      </c>
      <c r="C45" s="3"/>
      <c r="D45" s="4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1968</v>
      </c>
      <c r="C47" s="73" t="s">
        <v>1862</v>
      </c>
      <c r="D47" s="74" t="s">
        <v>1969</v>
      </c>
      <c r="E47" s="103" t="str">
        <f>HYPERLINK("https://youtu.be/EUafRBHwoS4","channel 1")</f>
        <v>channel 1</v>
      </c>
    </row>
    <row r="48">
      <c r="B48" s="72" t="s">
        <v>1696</v>
      </c>
      <c r="C48" s="73" t="s">
        <v>1847</v>
      </c>
      <c r="D48" s="86" t="s">
        <v>1478</v>
      </c>
      <c r="E48" s="103" t="str">
        <f>HYPERLINK("https://youtu.be/-3ijO-_60Es","channel 2")</f>
        <v>channel 2</v>
      </c>
    </row>
    <row r="49">
      <c r="B49" s="72" t="s">
        <v>1345</v>
      </c>
      <c r="C49" s="73" t="s">
        <v>1834</v>
      </c>
      <c r="D49" s="74" t="s">
        <v>1968</v>
      </c>
      <c r="E49" s="103" t="str">
        <f>HYPERLINK("https://youtu.be/LB16F-HvV0Y","channel 1")</f>
        <v>channel 1</v>
      </c>
    </row>
    <row r="50">
      <c r="B50" s="72" t="s">
        <v>1696</v>
      </c>
      <c r="C50" s="73" t="s">
        <v>1828</v>
      </c>
      <c r="D50" s="74" t="s">
        <v>1969</v>
      </c>
      <c r="E50" s="103" t="str">
        <f>HYPERLINK("https://youtu.be/SyavBKPnwyU","channel 2")</f>
        <v>channel 2</v>
      </c>
    </row>
    <row r="51">
      <c r="B51" s="72" t="s">
        <v>1345</v>
      </c>
      <c r="C51" s="73" t="s">
        <v>1824</v>
      </c>
      <c r="D51" s="74" t="s">
        <v>1478</v>
      </c>
      <c r="E51" s="103" t="str">
        <f>HYPERLINK("https://youtu.be/uNB9xXlAOu8","channel 1")</f>
        <v>channel 1</v>
      </c>
    </row>
    <row r="52">
      <c r="B52" s="72" t="s">
        <v>1696</v>
      </c>
      <c r="C52" s="73" t="s">
        <v>1837</v>
      </c>
      <c r="D52" s="74" t="s">
        <v>1968</v>
      </c>
      <c r="E52" s="103" t="str">
        <f>HYPERLINK("https://youtu.be/cnehv6yO9hU","channel 2")</f>
        <v>channel 2</v>
      </c>
    </row>
    <row r="53">
      <c r="B53" s="72" t="s">
        <v>1345</v>
      </c>
      <c r="C53" s="73" t="s">
        <v>1837</v>
      </c>
      <c r="D53" s="74" t="s">
        <v>1969</v>
      </c>
      <c r="E53" s="103" t="str">
        <f>HYPERLINK("https://youtu.be/lU-5GnI9V5A","channel 1")</f>
        <v>channel 1</v>
      </c>
    </row>
    <row r="54">
      <c r="B54" s="72" t="s">
        <v>1478</v>
      </c>
      <c r="C54" s="73" t="s">
        <v>1837</v>
      </c>
      <c r="D54" s="74" t="s">
        <v>1968</v>
      </c>
      <c r="E54" s="103" t="str">
        <f>HYPERLINK("https://youtu.be/c_QJLk3ImnA","channel 2")</f>
        <v>channel 2</v>
      </c>
    </row>
    <row r="55">
      <c r="B55" s="72" t="s">
        <v>1345</v>
      </c>
      <c r="C55" s="73" t="s">
        <v>1833</v>
      </c>
      <c r="D55" s="74" t="s">
        <v>1696</v>
      </c>
      <c r="E55" s="103" t="str">
        <f>HYPERLINK("https://youtu.be/3kd2Fwb4opQ","channel 1")</f>
        <v>channel 1</v>
      </c>
    </row>
    <row r="56">
      <c r="B56" s="72" t="s">
        <v>1478</v>
      </c>
      <c r="C56" s="73" t="s">
        <v>1824</v>
      </c>
      <c r="D56" s="74" t="s">
        <v>1969</v>
      </c>
      <c r="E56" s="103" t="str">
        <f>HYPERLINK("https://youtu.be/CvinNPmILEc","channel 2")</f>
        <v>channel 2</v>
      </c>
      <c r="F56" s="113"/>
    </row>
    <row r="57">
      <c r="B57" s="72" t="s">
        <v>1969</v>
      </c>
      <c r="C57" s="73" t="s">
        <v>1848</v>
      </c>
      <c r="D57" s="74" t="s">
        <v>1968</v>
      </c>
      <c r="E57" s="103" t="str">
        <f>HYPERLINK("https://youtu.be/ijmqNeetCMI","channel 1")</f>
        <v>channel 1</v>
      </c>
      <c r="G57" s="114"/>
    </row>
    <row r="58">
      <c r="B58" s="72" t="s">
        <v>1478</v>
      </c>
      <c r="C58" s="73" t="s">
        <v>1830</v>
      </c>
      <c r="D58" s="74" t="s">
        <v>1696</v>
      </c>
      <c r="E58" s="103" t="str">
        <f>HYPERLINK("https://youtu.be/92A015LJ3Sg","channel 2")</f>
        <v>channel 2</v>
      </c>
    </row>
    <row r="59">
      <c r="B59" s="72" t="s">
        <v>1968</v>
      </c>
      <c r="C59" s="75" t="s">
        <v>1827</v>
      </c>
      <c r="D59" s="74" t="s">
        <v>1345</v>
      </c>
      <c r="E59" s="103" t="str">
        <f>HYPERLINK("https://youtu.be/HDBIvAexsG8","channel 1")</f>
        <v>channel 1</v>
      </c>
    </row>
    <row r="60">
      <c r="B60" s="72" t="s">
        <v>1969</v>
      </c>
      <c r="C60" s="75" t="s">
        <v>1827</v>
      </c>
      <c r="D60" s="74" t="s">
        <v>1696</v>
      </c>
      <c r="E60" s="103" t="str">
        <f>HYPERLINK("https://youtu.be/qZ2-ZpZFEvE","channel 2")</f>
        <v>channel 2</v>
      </c>
    </row>
    <row r="61">
      <c r="B61" s="72" t="s">
        <v>1478</v>
      </c>
      <c r="C61" s="75" t="s">
        <v>1835</v>
      </c>
      <c r="D61" s="74" t="s">
        <v>1345</v>
      </c>
      <c r="E61" s="103" t="str">
        <f>HYPERLINK("https://youtu.be/5vOdN2nt4-E","channel 1")</f>
        <v>channel 1</v>
      </c>
    </row>
    <row r="62">
      <c r="B62" s="72" t="s">
        <v>1968</v>
      </c>
      <c r="C62" s="75" t="s">
        <v>1836</v>
      </c>
      <c r="D62" s="74" t="s">
        <v>1696</v>
      </c>
      <c r="E62" s="103" t="str">
        <f>HYPERLINK("https://youtu.be/uWvS3rarZgc","channel 2")</f>
        <v>channel 2</v>
      </c>
    </row>
    <row r="63">
      <c r="B63" s="72" t="s">
        <v>1969</v>
      </c>
      <c r="C63" s="75" t="s">
        <v>1830</v>
      </c>
      <c r="D63" s="74" t="s">
        <v>1345</v>
      </c>
      <c r="E63" s="103" t="str">
        <f>HYPERLINK("https://youtu.be/Mv_OyyyNaIQ","channel 1")</f>
        <v>channel 1</v>
      </c>
    </row>
    <row r="64">
      <c r="B64" s="72" t="s">
        <v>1968</v>
      </c>
      <c r="C64" s="75" t="s">
        <v>1854</v>
      </c>
      <c r="D64" s="74" t="s">
        <v>1478</v>
      </c>
      <c r="E64" s="103" t="str">
        <f>HYPERLINK("https://youtu.be/xi0KThgB5DA","channel 2")</f>
        <v>channel 2</v>
      </c>
    </row>
    <row r="65">
      <c r="B65" s="72" t="s">
        <v>1696</v>
      </c>
      <c r="C65" s="75" t="s">
        <v>1824</v>
      </c>
      <c r="D65" s="74" t="s">
        <v>1345</v>
      </c>
      <c r="E65" s="103" t="str">
        <f>HYPERLINK("https://youtu.be/lXx4i_WPyYg","channel 1")</f>
        <v>channel 1</v>
      </c>
    </row>
    <row r="66">
      <c r="B66" s="72" t="s">
        <v>1969</v>
      </c>
      <c r="C66" s="75" t="s">
        <v>1874</v>
      </c>
      <c r="D66" s="74" t="s">
        <v>1478</v>
      </c>
      <c r="E66" s="103" t="str">
        <f>HYPERLINK("https://youtu.be/04R8E4O7cGA","channel 2")</f>
        <v>channel 2</v>
      </c>
    </row>
    <row r="67">
      <c r="B67" s="121" t="s">
        <v>1150</v>
      </c>
      <c r="C67" s="3"/>
      <c r="D67" s="4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1055</v>
      </c>
      <c r="C69" s="73" t="s">
        <v>1831</v>
      </c>
      <c r="D69" s="74" t="s">
        <v>1515</v>
      </c>
      <c r="E69" s="103" t="str">
        <f>HYPERLINK("https://youtu.be/b64Z5cJB2g8","channel 1")</f>
        <v>channel 1</v>
      </c>
    </row>
    <row r="70">
      <c r="B70" s="72" t="s">
        <v>1648</v>
      </c>
      <c r="C70" s="73" t="s">
        <v>1826</v>
      </c>
      <c r="D70" s="74" t="s">
        <v>1650</v>
      </c>
      <c r="E70" s="103" t="str">
        <f>HYPERLINK("https://youtu.be/Keh10L1Itrg","channel 2")</f>
        <v>channel 2</v>
      </c>
    </row>
    <row r="71">
      <c r="B71" s="72" t="s">
        <v>1970</v>
      </c>
      <c r="C71" s="73" t="s">
        <v>1827</v>
      </c>
      <c r="D71" s="74" t="s">
        <v>1055</v>
      </c>
      <c r="E71" s="103" t="str">
        <f>HYPERLINK("https://youtu.be/7D_JiKLYKks","channel 1")</f>
        <v>channel 1</v>
      </c>
    </row>
    <row r="72">
      <c r="B72" s="72" t="s">
        <v>1648</v>
      </c>
      <c r="C72" s="73" t="s">
        <v>1824</v>
      </c>
      <c r="D72" s="74" t="s">
        <v>1515</v>
      </c>
      <c r="E72" s="103" t="str">
        <f>HYPERLINK("https://youtu.be/BGAbr9_8eWc","channel 2")</f>
        <v>channel 2</v>
      </c>
    </row>
    <row r="73">
      <c r="B73" s="72" t="s">
        <v>1970</v>
      </c>
      <c r="C73" s="73" t="s">
        <v>1835</v>
      </c>
      <c r="D73" s="74" t="s">
        <v>1650</v>
      </c>
      <c r="E73" s="103" t="str">
        <f>HYPERLINK("https://youtu.be/3eOszvB8dHo","channel 1")</f>
        <v>channel 1</v>
      </c>
    </row>
    <row r="74">
      <c r="B74" s="72" t="s">
        <v>1648</v>
      </c>
      <c r="C74" s="73" t="s">
        <v>1832</v>
      </c>
      <c r="D74" s="74" t="s">
        <v>1055</v>
      </c>
      <c r="E74" s="103" t="str">
        <f>HYPERLINK("https://youtu.be/LOA-T9ET0Sw","channel 2")</f>
        <v>channel 2</v>
      </c>
    </row>
    <row r="75">
      <c r="B75" s="72" t="s">
        <v>1970</v>
      </c>
      <c r="C75" s="73" t="s">
        <v>1852</v>
      </c>
      <c r="D75" s="74" t="s">
        <v>1515</v>
      </c>
      <c r="E75" s="103" t="str">
        <f>HYPERLINK("https://youtu.be/sWm4QyfnAGA","channel 1")</f>
        <v>channel 1</v>
      </c>
    </row>
    <row r="76">
      <c r="B76" s="72" t="s">
        <v>1650</v>
      </c>
      <c r="C76" s="73" t="s">
        <v>1824</v>
      </c>
      <c r="D76" s="74" t="s">
        <v>1055</v>
      </c>
      <c r="E76" s="103" t="str">
        <f>HYPERLINK("https://youtu.be/uAgUIncCGKg","channel 2")</f>
        <v>channel 2</v>
      </c>
    </row>
    <row r="77">
      <c r="B77" s="72" t="s">
        <v>1970</v>
      </c>
      <c r="C77" s="73" t="s">
        <v>1845</v>
      </c>
      <c r="D77" s="74" t="s">
        <v>1648</v>
      </c>
      <c r="E77" s="103" t="str">
        <f>HYPERLINK("https://youtu.be/XgB88JI8hnQ","channel 1")</f>
        <v>channel 1</v>
      </c>
    </row>
    <row r="78">
      <c r="B78" s="72" t="s">
        <v>1650</v>
      </c>
      <c r="C78" s="73" t="s">
        <v>1845</v>
      </c>
      <c r="D78" s="74" t="s">
        <v>1515</v>
      </c>
      <c r="E78" s="103" t="str">
        <f>HYPERLINK("https://youtu.be/xzrr7p2MY98","channel 2")</f>
        <v>channel 2</v>
      </c>
    </row>
    <row r="79">
      <c r="B79" s="72" t="s">
        <v>1515</v>
      </c>
      <c r="C79" s="73" t="s">
        <v>1835</v>
      </c>
      <c r="D79" s="74" t="s">
        <v>1055</v>
      </c>
      <c r="E79" s="103" t="str">
        <f>HYPERLINK("https://youtu.be/-kgT5mW0750","channel 1")</f>
        <v>channel 1</v>
      </c>
    </row>
    <row r="80">
      <c r="B80" s="72" t="s">
        <v>1650</v>
      </c>
      <c r="C80" s="73" t="s">
        <v>1849</v>
      </c>
      <c r="D80" s="74" t="s">
        <v>1648</v>
      </c>
      <c r="E80" s="103" t="str">
        <f>HYPERLINK("https://youtu.be/EMcAwEhJqyc","channel 2")</f>
        <v>channel 2</v>
      </c>
    </row>
    <row r="81">
      <c r="B81" s="72" t="s">
        <v>1055</v>
      </c>
      <c r="C81" s="75" t="s">
        <v>1834</v>
      </c>
      <c r="D81" s="74" t="s">
        <v>1970</v>
      </c>
      <c r="E81" s="103" t="str">
        <f>HYPERLINK("https://youtu.be/Aqi08OJw5AM","channel 1")</f>
        <v>channel 1</v>
      </c>
    </row>
    <row r="82">
      <c r="B82" s="72" t="s">
        <v>1515</v>
      </c>
      <c r="C82" s="75" t="s">
        <v>1849</v>
      </c>
      <c r="D82" s="74" t="s">
        <v>1648</v>
      </c>
      <c r="E82" s="103" t="str">
        <f>HYPERLINK("https://youtu.be/dWD4FtSz5m4","channel 2")</f>
        <v>channel 2</v>
      </c>
    </row>
    <row r="83">
      <c r="B83" s="72" t="s">
        <v>1650</v>
      </c>
      <c r="C83" s="75" t="s">
        <v>1949</v>
      </c>
      <c r="D83" s="74" t="s">
        <v>1970</v>
      </c>
      <c r="E83" s="103" t="str">
        <f>HYPERLINK("https://youtu.be/3IAZ7WMqJPw","channel 1")</f>
        <v>channel 1</v>
      </c>
    </row>
    <row r="84">
      <c r="B84" s="72" t="s">
        <v>1055</v>
      </c>
      <c r="C84" s="75" t="s">
        <v>1840</v>
      </c>
      <c r="D84" s="74" t="s">
        <v>1648</v>
      </c>
      <c r="E84" s="103" t="str">
        <f>HYPERLINK("https://youtu.be/xt4o-IgN1SI","channel 2")</f>
        <v>channel 2</v>
      </c>
    </row>
    <row r="85">
      <c r="B85" s="72" t="s">
        <v>1515</v>
      </c>
      <c r="C85" s="75" t="s">
        <v>1826</v>
      </c>
      <c r="D85" s="74" t="s">
        <v>1970</v>
      </c>
      <c r="E85" s="103" t="str">
        <f>HYPERLINK("https://youtu.be/pL-Zv2NNsJI","channel 1")</f>
        <v>channel 1</v>
      </c>
    </row>
    <row r="86">
      <c r="B86" s="72" t="s">
        <v>1055</v>
      </c>
      <c r="C86" s="75" t="s">
        <v>1840</v>
      </c>
      <c r="D86" s="74" t="s">
        <v>1650</v>
      </c>
      <c r="E86" s="103" t="str">
        <f>HYPERLINK("https://youtu.be/dVLNvhaB3AI","channel 2")</f>
        <v>channel 2</v>
      </c>
    </row>
    <row r="87">
      <c r="B87" s="72" t="s">
        <v>1648</v>
      </c>
      <c r="C87" s="75" t="s">
        <v>1834</v>
      </c>
      <c r="D87" s="74" t="s">
        <v>1970</v>
      </c>
      <c r="E87" s="103" t="str">
        <f>HYPERLINK("https://youtu.be/q1enABi5O6g","channel 1")</f>
        <v>channel 1</v>
      </c>
    </row>
    <row r="88">
      <c r="B88" s="72" t="s">
        <v>1515</v>
      </c>
      <c r="C88" s="75" t="s">
        <v>1882</v>
      </c>
      <c r="D88" s="74" t="s">
        <v>1650</v>
      </c>
      <c r="E88" s="103" t="str">
        <f>HYPERLINK("https://youtu.be/_RHM43JVfKA","channel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112</v>
      </c>
      <c r="C1" s="59"/>
      <c r="D1" s="60"/>
      <c r="E1" s="78"/>
    </row>
    <row r="2">
      <c r="B2" s="9" t="s">
        <v>3</v>
      </c>
      <c r="C2" s="8" t="s">
        <v>4</v>
      </c>
      <c r="D2" s="9" t="s">
        <v>5</v>
      </c>
      <c r="E2" s="9" t="s">
        <v>6</v>
      </c>
    </row>
    <row r="3">
      <c r="B3" s="10" t="s">
        <v>769</v>
      </c>
      <c r="C3" s="12" t="s">
        <v>1848</v>
      </c>
      <c r="D3" s="10" t="s">
        <v>1499</v>
      </c>
      <c r="E3" s="13" t="str">
        <f>HYPERLINK("https://youtu.be/AbWYHairP0Y","channel 1")</f>
        <v>channel 1</v>
      </c>
    </row>
    <row r="4">
      <c r="B4" s="10" t="s">
        <v>825</v>
      </c>
      <c r="C4" s="12" t="s">
        <v>1833</v>
      </c>
      <c r="D4" s="10" t="s">
        <v>1492</v>
      </c>
      <c r="E4" s="66" t="str">
        <f>HYPERLINK("https://youtu.be/Ty8eh1wMFRQ","channel 2")</f>
        <v>channel 2</v>
      </c>
    </row>
    <row r="5">
      <c r="B5" s="10" t="s">
        <v>768</v>
      </c>
      <c r="C5" s="12" t="s">
        <v>1832</v>
      </c>
      <c r="D5" s="10" t="s">
        <v>769</v>
      </c>
      <c r="E5" s="13" t="str">
        <f>HYPERLINK("https://youtu.be/Q2KasJLH2pQ","channel 1")</f>
        <v>channel 1</v>
      </c>
    </row>
    <row r="6">
      <c r="B6" s="10" t="s">
        <v>825</v>
      </c>
      <c r="C6" s="12" t="s">
        <v>1864</v>
      </c>
      <c r="D6" s="10" t="s">
        <v>1499</v>
      </c>
      <c r="E6" s="66" t="str">
        <f>HYPERLINK("https://youtu.be/sd83bVbD0R8","channel 2")</f>
        <v>channel 2</v>
      </c>
    </row>
    <row r="7">
      <c r="B7" s="127" t="s">
        <v>768</v>
      </c>
      <c r="C7" s="12" t="s">
        <v>1828</v>
      </c>
      <c r="D7" s="10" t="s">
        <v>1492</v>
      </c>
      <c r="E7" s="13" t="str">
        <f>HYPERLINK("https://youtu.be/DGpWtzOSRgg","channel 1")</f>
        <v>channel 1</v>
      </c>
    </row>
    <row r="8">
      <c r="B8" s="10" t="s">
        <v>825</v>
      </c>
      <c r="C8" s="12" t="s">
        <v>1847</v>
      </c>
      <c r="D8" s="10" t="s">
        <v>769</v>
      </c>
      <c r="E8" s="66" t="str">
        <f>HYPERLINK("https://youtu.be/eqIfFg1IkcI","channel 2")</f>
        <v>channel 2</v>
      </c>
    </row>
    <row r="9">
      <c r="B9" s="127" t="s">
        <v>768</v>
      </c>
      <c r="C9" s="12" t="s">
        <v>1845</v>
      </c>
      <c r="D9" s="10" t="s">
        <v>1499</v>
      </c>
      <c r="E9" s="13" t="str">
        <f>HYPERLINK("https://youtu.be/qD0FWy8H7nI","channel 1")</f>
        <v>channel 1</v>
      </c>
    </row>
    <row r="10">
      <c r="B10" s="10" t="s">
        <v>1492</v>
      </c>
      <c r="C10" s="12" t="s">
        <v>1845</v>
      </c>
      <c r="D10" s="10" t="s">
        <v>769</v>
      </c>
      <c r="E10" s="66" t="str">
        <f>HYPERLINK("https://youtu.be/YrtD25eVysQ","channel 2")</f>
        <v>channel 2</v>
      </c>
    </row>
    <row r="11">
      <c r="B11" s="127" t="s">
        <v>768</v>
      </c>
      <c r="C11" s="12" t="s">
        <v>1834</v>
      </c>
      <c r="D11" s="10" t="s">
        <v>825</v>
      </c>
      <c r="E11" s="13" t="str">
        <f>HYPERLINK("https://youtu.be/zfGvHqOK7Zs","channel 1")</f>
        <v>channel 1</v>
      </c>
    </row>
    <row r="12">
      <c r="B12" s="10" t="s">
        <v>1492</v>
      </c>
      <c r="C12" s="12" t="s">
        <v>1834</v>
      </c>
      <c r="D12" s="10" t="s">
        <v>1499</v>
      </c>
      <c r="E12" s="66" t="str">
        <f>HYPERLINK("https://youtu.be/taFEo9Z2_y4","channel 2")</f>
        <v>channel 2</v>
      </c>
    </row>
    <row r="13">
      <c r="B13" s="10" t="s">
        <v>1499</v>
      </c>
      <c r="C13" s="12" t="s">
        <v>1829</v>
      </c>
      <c r="D13" s="10" t="s">
        <v>769</v>
      </c>
      <c r="E13" s="13" t="str">
        <f>HYPERLINK("https://youtu.be/v0ZvYK0DASE","channel 1")</f>
        <v>channel 1</v>
      </c>
    </row>
    <row r="14">
      <c r="B14" s="10" t="s">
        <v>1492</v>
      </c>
      <c r="C14" s="12" t="s">
        <v>1831</v>
      </c>
      <c r="D14" s="10" t="s">
        <v>825</v>
      </c>
      <c r="E14" s="66" t="str">
        <f>HYPERLINK("https://youtu.be/MFQBPtesSsM","channel 2")</f>
        <v>channel 2</v>
      </c>
    </row>
    <row r="15">
      <c r="B15" s="10" t="s">
        <v>769</v>
      </c>
      <c r="C15" s="18" t="s">
        <v>1833</v>
      </c>
      <c r="D15" s="127" t="s">
        <v>768</v>
      </c>
      <c r="E15" s="13" t="str">
        <f>HYPERLINK("https://youtu.be/KlBqW7JNB7A","channel 1")</f>
        <v>channel 1</v>
      </c>
    </row>
    <row r="16">
      <c r="B16" s="10" t="s">
        <v>1499</v>
      </c>
      <c r="C16" s="18" t="s">
        <v>1827</v>
      </c>
      <c r="D16" s="10" t="s">
        <v>825</v>
      </c>
      <c r="E16" s="66" t="str">
        <f>HYPERLINK("https://youtu.be/FaAOK_QQ5Fk","channel 2")</f>
        <v>channel 2</v>
      </c>
    </row>
    <row r="17">
      <c r="B17" s="10" t="s">
        <v>1492</v>
      </c>
      <c r="C17" s="18" t="s">
        <v>1840</v>
      </c>
      <c r="D17" s="127" t="s">
        <v>768</v>
      </c>
      <c r="E17" s="13" t="str">
        <f>HYPERLINK("https://youtu.be/5qRXEEtjxtQ","channel 1")</f>
        <v>channel 1</v>
      </c>
    </row>
    <row r="18">
      <c r="B18" s="10" t="s">
        <v>769</v>
      </c>
      <c r="C18" s="18" t="s">
        <v>1833</v>
      </c>
      <c r="D18" s="10" t="s">
        <v>825</v>
      </c>
      <c r="E18" s="66" t="str">
        <f>HYPERLINK("https://youtu.be/am7xmezxYJY","channel 2")</f>
        <v>channel 2</v>
      </c>
    </row>
    <row r="19">
      <c r="B19" s="10" t="s">
        <v>1499</v>
      </c>
      <c r="C19" s="18" t="s">
        <v>1917</v>
      </c>
      <c r="D19" s="127" t="s">
        <v>768</v>
      </c>
      <c r="E19" s="13" t="str">
        <f>HYPERLINK("https://youtu.be/yAfOcSgraxM","channel 1")</f>
        <v>channel 1</v>
      </c>
    </row>
    <row r="20">
      <c r="B20" s="10" t="s">
        <v>769</v>
      </c>
      <c r="C20" s="18" t="s">
        <v>1851</v>
      </c>
      <c r="D20" s="10" t="s">
        <v>1492</v>
      </c>
      <c r="E20" s="66" t="str">
        <f>HYPERLINK("https://youtu.be/i8ZkASfVYxc","channel 2")</f>
        <v>channel 2</v>
      </c>
    </row>
    <row r="21">
      <c r="B21" s="10" t="s">
        <v>825</v>
      </c>
      <c r="C21" s="18" t="s">
        <v>1896</v>
      </c>
      <c r="D21" s="127" t="s">
        <v>768</v>
      </c>
      <c r="E21" s="13" t="str">
        <f>HYPERLINK("https://youtu.be/x4c2hrYE8go","channel 1")</f>
        <v>channel 1</v>
      </c>
    </row>
    <row r="22">
      <c r="B22" s="10" t="s">
        <v>1499</v>
      </c>
      <c r="C22" s="18" t="s">
        <v>1845</v>
      </c>
      <c r="D22" s="10" t="s">
        <v>1492</v>
      </c>
      <c r="E22" s="66" t="str">
        <f>HYPERLINK("https://youtu.be/oeZMGLsTXvY","channel 2")</f>
        <v>channel 2</v>
      </c>
    </row>
    <row r="23">
      <c r="B23" s="2" t="s">
        <v>240</v>
      </c>
      <c r="C23" s="3"/>
      <c r="D23" s="4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1971</v>
      </c>
      <c r="C25" s="70" t="s">
        <v>1841</v>
      </c>
      <c r="D25" s="71" t="s">
        <v>860</v>
      </c>
      <c r="E25" s="13" t="str">
        <f>HYPERLINK("https://youtu.be/k-DdMWdim50","channel 1")</f>
        <v>channel 1</v>
      </c>
    </row>
    <row r="26">
      <c r="B26" s="72" t="s">
        <v>1627</v>
      </c>
      <c r="C26" s="73" t="s">
        <v>1877</v>
      </c>
      <c r="D26" s="74" t="s">
        <v>1688</v>
      </c>
      <c r="E26" s="66" t="str">
        <f>HYPERLINK("https://youtu.be/xN0dfobttBQ","channel 2")</f>
        <v>channel 2</v>
      </c>
    </row>
    <row r="27">
      <c r="B27" s="72" t="s">
        <v>861</v>
      </c>
      <c r="C27" s="73" t="s">
        <v>1832</v>
      </c>
      <c r="D27" s="74" t="s">
        <v>1971</v>
      </c>
      <c r="E27" s="13" t="str">
        <f>HYPERLINK("https://youtu.be/Cx9SC47IOQ8","channel 1")</f>
        <v>channel 1</v>
      </c>
    </row>
    <row r="28">
      <c r="B28" s="72" t="s">
        <v>1627</v>
      </c>
      <c r="C28" s="73" t="s">
        <v>1850</v>
      </c>
      <c r="D28" s="74" t="s">
        <v>860</v>
      </c>
      <c r="E28" s="66" t="str">
        <f>HYPERLINK("https://youtu.be/C-zPQ4KwS04","channel 2")</f>
        <v>channel 2</v>
      </c>
    </row>
    <row r="29">
      <c r="B29" s="72" t="s">
        <v>861</v>
      </c>
      <c r="C29" s="73" t="s">
        <v>1827</v>
      </c>
      <c r="D29" s="74" t="s">
        <v>1688</v>
      </c>
      <c r="E29" s="13" t="str">
        <f>HYPERLINK("https://youtu.be/9DwHMIAF8Qw","channel 1")</f>
        <v>channel 1</v>
      </c>
    </row>
    <row r="30">
      <c r="B30" s="72" t="s">
        <v>1627</v>
      </c>
      <c r="C30" s="73" t="s">
        <v>1834</v>
      </c>
      <c r="D30" s="74" t="s">
        <v>1971</v>
      </c>
      <c r="E30" s="66" t="str">
        <f>HYPERLINK("https://youtu.be/01OHx3HhiWk","channel 2")</f>
        <v>channel 2</v>
      </c>
    </row>
    <row r="31">
      <c r="B31" s="72" t="s">
        <v>861</v>
      </c>
      <c r="C31" s="73" t="s">
        <v>1837</v>
      </c>
      <c r="D31" s="74" t="s">
        <v>860</v>
      </c>
      <c r="E31" s="13" t="str">
        <f>HYPERLINK("https://youtu.be/MOkH_Bc2Rc8","channel 1")</f>
        <v>channel 1</v>
      </c>
    </row>
    <row r="32">
      <c r="B32" s="72" t="s">
        <v>1688</v>
      </c>
      <c r="C32" s="73" t="s">
        <v>1845</v>
      </c>
      <c r="D32" s="74" t="s">
        <v>1971</v>
      </c>
      <c r="E32" s="66" t="str">
        <f>HYPERLINK("https://youtu.be/e21m7eW-qkU","channel 2")</f>
        <v>channel 2</v>
      </c>
    </row>
    <row r="33">
      <c r="B33" s="72" t="s">
        <v>861</v>
      </c>
      <c r="C33" s="73" t="s">
        <v>1860</v>
      </c>
      <c r="D33" s="74" t="s">
        <v>1627</v>
      </c>
      <c r="E33" s="13" t="str">
        <f>HYPERLINK("https://youtu.be/A246yRFOQUM","channel 1")</f>
        <v>channel 1</v>
      </c>
    </row>
    <row r="34">
      <c r="B34" s="72" t="s">
        <v>1688</v>
      </c>
      <c r="C34" s="73" t="s">
        <v>1845</v>
      </c>
      <c r="D34" s="74" t="s">
        <v>860</v>
      </c>
      <c r="E34" s="66" t="str">
        <f>HYPERLINK("https://youtu.be/GNwvtoNrgpg","channel 2")</f>
        <v>channel 2</v>
      </c>
    </row>
    <row r="35">
      <c r="B35" s="72" t="s">
        <v>860</v>
      </c>
      <c r="C35" s="73" t="s">
        <v>1827</v>
      </c>
      <c r="D35" s="74" t="s">
        <v>1971</v>
      </c>
      <c r="E35" s="13" t="str">
        <f>HYPERLINK("https://youtu.be/e2qdhDYhtDM","channel 1")</f>
        <v>channel 1</v>
      </c>
    </row>
    <row r="36">
      <c r="B36" s="72" t="s">
        <v>1688</v>
      </c>
      <c r="C36" s="73" t="s">
        <v>1849</v>
      </c>
      <c r="D36" s="74" t="s">
        <v>1627</v>
      </c>
      <c r="E36" s="66" t="str">
        <f>HYPERLINK("https://youtu.be/fKqrxwAEKiE","channel 2")</f>
        <v>channel 2</v>
      </c>
    </row>
    <row r="37">
      <c r="B37" s="72" t="s">
        <v>1971</v>
      </c>
      <c r="C37" s="75" t="s">
        <v>1861</v>
      </c>
      <c r="D37" s="72" t="s">
        <v>861</v>
      </c>
      <c r="E37" s="13" t="str">
        <f>HYPERLINK("https://youtu.be/tT_VHHmRkoo","channel 1")</f>
        <v>channel 1</v>
      </c>
    </row>
    <row r="38">
      <c r="B38" s="72" t="s">
        <v>860</v>
      </c>
      <c r="C38" s="75" t="s">
        <v>1835</v>
      </c>
      <c r="D38" s="74" t="s">
        <v>1627</v>
      </c>
      <c r="E38" s="66" t="str">
        <f>HYPERLINK("https://youtu.be/pZ_gRwI-VU8","channel 2")</f>
        <v>channel 2</v>
      </c>
    </row>
    <row r="39">
      <c r="B39" s="72" t="s">
        <v>1688</v>
      </c>
      <c r="C39" s="75" t="s">
        <v>1834</v>
      </c>
      <c r="D39" s="72" t="s">
        <v>861</v>
      </c>
      <c r="E39" s="13" t="str">
        <f>HYPERLINK("https://youtu.be/T7YYe9GY83w","channel 1")</f>
        <v>channel 1</v>
      </c>
    </row>
    <row r="40">
      <c r="B40" s="72" t="s">
        <v>1971</v>
      </c>
      <c r="C40" s="128" t="s">
        <v>1827</v>
      </c>
      <c r="D40" s="74" t="s">
        <v>1627</v>
      </c>
      <c r="E40" s="66" t="str">
        <f>HYPERLINK("https://youtu.be/F3swXof8Gnc","channel 2")</f>
        <v>channel 2</v>
      </c>
    </row>
    <row r="41">
      <c r="B41" s="72" t="s">
        <v>860</v>
      </c>
      <c r="C41" s="75" t="s">
        <v>1847</v>
      </c>
      <c r="D41" s="72" t="s">
        <v>861</v>
      </c>
      <c r="E41" s="13" t="str">
        <f>HYPERLINK("https://youtu.be/gvx8Lz-RWks","channel 1")</f>
        <v>channel 1</v>
      </c>
    </row>
    <row r="42">
      <c r="B42" s="72" t="s">
        <v>1971</v>
      </c>
      <c r="C42" s="129" t="s">
        <v>1829</v>
      </c>
      <c r="D42" s="74" t="s">
        <v>1688</v>
      </c>
      <c r="E42" s="66" t="str">
        <f>HYPERLINK("https://youtu.be/3CIR_M8TxEE","channel 2")</f>
        <v>channel 2</v>
      </c>
    </row>
    <row r="43">
      <c r="B43" s="72" t="s">
        <v>1627</v>
      </c>
      <c r="C43" s="128" t="s">
        <v>1870</v>
      </c>
      <c r="D43" s="72" t="s">
        <v>861</v>
      </c>
      <c r="E43" s="13" t="str">
        <f>HYPERLINK("https://youtu.be/yt4M0Z2KRC0","channel 1")</f>
        <v>channel 1</v>
      </c>
    </row>
    <row r="44">
      <c r="B44" s="10" t="s">
        <v>860</v>
      </c>
      <c r="C44" s="18" t="s">
        <v>1860</v>
      </c>
      <c r="D44" s="10" t="s">
        <v>1688</v>
      </c>
      <c r="E44" s="66" t="str">
        <f>HYPERLINK("https://youtu.be/oWa89Ucd7fA","channel 2")</f>
        <v>channel 2</v>
      </c>
    </row>
    <row r="45">
      <c r="B45" s="57"/>
      <c r="C45" s="57"/>
      <c r="D45" s="57"/>
      <c r="E45" s="57"/>
    </row>
    <row r="46">
      <c r="B46" s="93"/>
      <c r="C46" s="94"/>
      <c r="D46" s="93"/>
      <c r="E46" s="93"/>
    </row>
    <row r="47">
      <c r="B47" s="47"/>
      <c r="C47" s="95"/>
      <c r="D47" s="47"/>
      <c r="E47" s="92"/>
    </row>
    <row r="48">
      <c r="B48" s="47"/>
      <c r="C48" s="95"/>
      <c r="D48" s="47"/>
      <c r="E48" s="92"/>
    </row>
    <row r="49">
      <c r="B49" s="47"/>
      <c r="C49" s="95"/>
      <c r="D49" s="47"/>
      <c r="E49" s="92"/>
    </row>
    <row r="50">
      <c r="B50" s="47"/>
      <c r="C50" s="95"/>
      <c r="D50" s="47"/>
      <c r="E50" s="92"/>
    </row>
    <row r="51">
      <c r="B51" s="47"/>
      <c r="C51" s="95"/>
      <c r="D51" s="47"/>
      <c r="E51" s="92"/>
    </row>
    <row r="52">
      <c r="B52" s="47"/>
      <c r="C52" s="95"/>
      <c r="D52" s="47"/>
      <c r="E52" s="92"/>
    </row>
    <row r="53">
      <c r="B53" s="57"/>
      <c r="E53" s="130"/>
    </row>
    <row r="54">
      <c r="B54" s="93"/>
      <c r="C54" s="94"/>
      <c r="D54" s="93"/>
      <c r="E54" s="93"/>
    </row>
    <row r="55">
      <c r="B55" s="47"/>
      <c r="C55" s="95"/>
      <c r="D55" s="47"/>
      <c r="E55" s="92"/>
    </row>
    <row r="56">
      <c r="B56" s="47"/>
      <c r="C56" s="95"/>
      <c r="D56" s="47"/>
      <c r="E56" s="92"/>
      <c r="F56" s="113"/>
    </row>
    <row r="57">
      <c r="B57" s="47"/>
      <c r="C57" s="95"/>
      <c r="D57" s="47"/>
      <c r="E57" s="92"/>
      <c r="G57" s="114"/>
    </row>
    <row r="58">
      <c r="B58" s="47"/>
      <c r="C58" s="95"/>
      <c r="D58" s="47"/>
      <c r="E58" s="92"/>
    </row>
    <row r="59">
      <c r="B59" s="47"/>
      <c r="C59" s="131"/>
      <c r="D59" s="47"/>
      <c r="E59" s="92"/>
    </row>
    <row r="60">
      <c r="B60" s="47"/>
      <c r="C60" s="131"/>
      <c r="D60" s="47"/>
      <c r="E60" s="92"/>
    </row>
    <row r="61">
      <c r="B61" s="57"/>
      <c r="E61" s="132"/>
    </row>
    <row r="62">
      <c r="B62" s="93"/>
      <c r="C62" s="94"/>
      <c r="D62" s="93"/>
      <c r="E62" s="93"/>
    </row>
    <row r="63">
      <c r="B63" s="47"/>
      <c r="C63" s="131"/>
      <c r="D63" s="47"/>
      <c r="E63" s="92"/>
    </row>
    <row r="64">
      <c r="B64" s="47"/>
      <c r="C64" s="131"/>
      <c r="D64" s="47"/>
      <c r="E64" s="92"/>
    </row>
    <row r="65">
      <c r="B65" s="133"/>
      <c r="C65" s="131"/>
      <c r="D65" s="47"/>
      <c r="E65" s="92"/>
    </row>
    <row r="66">
      <c r="B66" s="47"/>
      <c r="C66" s="131"/>
      <c r="D66" s="47"/>
      <c r="E66" s="92"/>
    </row>
    <row r="67">
      <c r="B67" s="134"/>
      <c r="C67" s="131"/>
      <c r="D67" s="134"/>
      <c r="E67" s="92"/>
    </row>
    <row r="68">
      <c r="B68" s="135"/>
      <c r="C68" s="131"/>
      <c r="D68" s="135"/>
      <c r="E68" s="92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6"/>
      <c r="B1" s="77" t="s">
        <v>0</v>
      </c>
      <c r="C1" s="59"/>
      <c r="D1" s="60"/>
      <c r="E1" s="83"/>
    </row>
    <row r="2">
      <c r="A2" s="117"/>
      <c r="B2" s="61" t="s">
        <v>3</v>
      </c>
      <c r="C2" s="63" t="s">
        <v>4</v>
      </c>
      <c r="D2" s="63" t="s">
        <v>5</v>
      </c>
      <c r="E2" s="63" t="s">
        <v>6</v>
      </c>
    </row>
    <row r="3">
      <c r="A3" s="117"/>
      <c r="B3" s="86" t="s">
        <v>16</v>
      </c>
      <c r="C3" s="137"/>
      <c r="D3" s="79" t="s">
        <v>1268</v>
      </c>
      <c r="E3" s="28">
        <v>2.0</v>
      </c>
      <c r="F3" s="138"/>
    </row>
    <row r="4">
      <c r="A4" s="117"/>
      <c r="B4" s="79" t="s">
        <v>1269</v>
      </c>
      <c r="C4" s="137"/>
      <c r="D4" s="79" t="s">
        <v>797</v>
      </c>
      <c r="E4" s="28">
        <v>4.0</v>
      </c>
      <c r="F4" s="138"/>
    </row>
    <row r="5">
      <c r="A5" s="117"/>
      <c r="B5" s="86" t="s">
        <v>1070</v>
      </c>
      <c r="C5" s="137"/>
      <c r="D5" s="86" t="s">
        <v>16</v>
      </c>
      <c r="E5" s="28">
        <v>2.0</v>
      </c>
      <c r="F5" s="45"/>
    </row>
    <row r="6">
      <c r="A6" s="117"/>
      <c r="B6" s="79" t="s">
        <v>1269</v>
      </c>
      <c r="C6" s="137"/>
      <c r="D6" s="79" t="s">
        <v>1268</v>
      </c>
      <c r="E6" s="28">
        <v>4.0</v>
      </c>
      <c r="F6" s="138"/>
    </row>
    <row r="7">
      <c r="A7" s="117"/>
      <c r="B7" s="86" t="s">
        <v>1070</v>
      </c>
      <c r="C7" s="137"/>
      <c r="D7" s="79" t="s">
        <v>797</v>
      </c>
      <c r="E7" s="28">
        <v>2.0</v>
      </c>
      <c r="F7" s="138"/>
    </row>
    <row r="8">
      <c r="A8" s="117"/>
      <c r="B8" s="79" t="s">
        <v>1269</v>
      </c>
      <c r="C8" s="137"/>
      <c r="D8" s="86" t="s">
        <v>16</v>
      </c>
      <c r="E8" s="28">
        <v>4.0</v>
      </c>
      <c r="F8" s="138"/>
    </row>
    <row r="9">
      <c r="A9" s="117"/>
      <c r="B9" s="86" t="s">
        <v>1070</v>
      </c>
      <c r="C9" s="137"/>
      <c r="D9" s="79" t="s">
        <v>1268</v>
      </c>
      <c r="E9" s="28">
        <v>2.0</v>
      </c>
      <c r="F9" s="138"/>
    </row>
    <row r="10">
      <c r="A10" s="117"/>
      <c r="B10" s="79" t="s">
        <v>797</v>
      </c>
      <c r="C10" s="137"/>
      <c r="D10" s="86" t="s">
        <v>16</v>
      </c>
      <c r="E10" s="28">
        <v>4.0</v>
      </c>
      <c r="F10" s="138"/>
      <c r="G10" s="57"/>
      <c r="H10" s="57"/>
      <c r="I10" s="57"/>
      <c r="J10" s="57"/>
    </row>
    <row r="11">
      <c r="A11" s="117"/>
      <c r="B11" s="86" t="s">
        <v>1070</v>
      </c>
      <c r="C11" s="137"/>
      <c r="D11" s="79" t="s">
        <v>1269</v>
      </c>
      <c r="E11" s="28">
        <v>2.0</v>
      </c>
      <c r="F11" s="138"/>
      <c r="G11" s="57"/>
      <c r="H11" s="57"/>
      <c r="I11" s="57"/>
      <c r="J11" s="57"/>
    </row>
    <row r="12">
      <c r="A12" s="117"/>
      <c r="B12" s="79" t="s">
        <v>797</v>
      </c>
      <c r="C12" s="137"/>
      <c r="D12" s="79" t="s">
        <v>1268</v>
      </c>
      <c r="E12" s="28">
        <v>4.0</v>
      </c>
      <c r="F12" s="138"/>
      <c r="G12" s="57"/>
      <c r="H12" s="57"/>
      <c r="I12" s="57"/>
      <c r="J12" s="57"/>
    </row>
    <row r="13">
      <c r="A13" s="117"/>
      <c r="B13" s="79" t="s">
        <v>1268</v>
      </c>
      <c r="C13" s="137"/>
      <c r="D13" s="86" t="s">
        <v>16</v>
      </c>
      <c r="E13" s="28">
        <v>2.0</v>
      </c>
      <c r="F13" s="138"/>
      <c r="G13" s="139"/>
    </row>
    <row r="14">
      <c r="A14" s="117"/>
      <c r="B14" s="79" t="s">
        <v>797</v>
      </c>
      <c r="C14" s="137"/>
      <c r="D14" s="79" t="s">
        <v>1269</v>
      </c>
      <c r="E14" s="28">
        <v>4.0</v>
      </c>
      <c r="F14" s="138"/>
      <c r="G14" s="139"/>
    </row>
    <row r="15">
      <c r="A15" s="117"/>
      <c r="B15" s="86" t="s">
        <v>16</v>
      </c>
      <c r="C15" s="140"/>
      <c r="D15" s="86" t="s">
        <v>1070</v>
      </c>
      <c r="E15" s="28">
        <v>2.0</v>
      </c>
      <c r="F15" s="138"/>
      <c r="G15" s="139"/>
    </row>
    <row r="16">
      <c r="A16" s="117"/>
      <c r="B16" s="79" t="s">
        <v>1268</v>
      </c>
      <c r="C16" s="140"/>
      <c r="D16" s="79" t="s">
        <v>1269</v>
      </c>
      <c r="E16" s="28">
        <v>4.0</v>
      </c>
      <c r="F16" s="138"/>
      <c r="G16" s="139"/>
    </row>
    <row r="17">
      <c r="A17" s="117"/>
      <c r="B17" s="79" t="s">
        <v>797</v>
      </c>
      <c r="C17" s="140"/>
      <c r="D17" s="86" t="s">
        <v>1070</v>
      </c>
      <c r="E17" s="28">
        <v>2.0</v>
      </c>
      <c r="F17" s="138"/>
    </row>
    <row r="18">
      <c r="A18" s="117"/>
      <c r="B18" s="86" t="s">
        <v>16</v>
      </c>
      <c r="C18" s="140"/>
      <c r="D18" s="79" t="s">
        <v>1269</v>
      </c>
      <c r="E18" s="28">
        <v>4.0</v>
      </c>
      <c r="F18" s="138"/>
    </row>
    <row r="19">
      <c r="A19" s="117"/>
      <c r="B19" s="79" t="s">
        <v>1268</v>
      </c>
      <c r="C19" s="140"/>
      <c r="D19" s="86" t="s">
        <v>1070</v>
      </c>
      <c r="E19" s="28">
        <v>2.0</v>
      </c>
      <c r="F19" s="138"/>
    </row>
    <row r="20">
      <c r="A20" s="117"/>
      <c r="B20" s="86" t="s">
        <v>16</v>
      </c>
      <c r="C20" s="140"/>
      <c r="D20" s="79" t="s">
        <v>797</v>
      </c>
      <c r="E20" s="28">
        <v>4.0</v>
      </c>
      <c r="F20" s="138"/>
    </row>
    <row r="21">
      <c r="A21" s="117"/>
      <c r="B21" s="79" t="s">
        <v>1269</v>
      </c>
      <c r="C21" s="140"/>
      <c r="D21" s="86" t="s">
        <v>1070</v>
      </c>
      <c r="E21" s="28">
        <v>2.0</v>
      </c>
      <c r="F21" s="138"/>
    </row>
    <row r="22">
      <c r="A22" s="117"/>
      <c r="B22" s="79" t="s">
        <v>1268</v>
      </c>
      <c r="C22" s="140"/>
      <c r="D22" s="79" t="s">
        <v>797</v>
      </c>
      <c r="E22" s="28">
        <v>4.0</v>
      </c>
      <c r="F22" s="138"/>
    </row>
    <row r="23">
      <c r="A23" s="117"/>
      <c r="B23" s="77" t="s">
        <v>41</v>
      </c>
      <c r="C23" s="59"/>
      <c r="D23" s="60"/>
      <c r="E23" s="141"/>
    </row>
    <row r="24">
      <c r="A24" s="117"/>
      <c r="B24" s="61" t="s">
        <v>3</v>
      </c>
      <c r="C24" s="63" t="s">
        <v>4</v>
      </c>
      <c r="D24" s="63" t="s">
        <v>5</v>
      </c>
      <c r="E24" s="63" t="s">
        <v>6</v>
      </c>
    </row>
    <row r="25">
      <c r="A25" s="117"/>
      <c r="B25" s="142" t="s">
        <v>1270</v>
      </c>
      <c r="C25" s="11"/>
      <c r="D25" s="28" t="s">
        <v>534</v>
      </c>
      <c r="E25" s="28">
        <v>2.0</v>
      </c>
      <c r="G25" s="45"/>
      <c r="H25" s="56"/>
      <c r="I25" s="45"/>
    </row>
    <row r="26">
      <c r="A26" s="117"/>
      <c r="B26" s="142" t="s">
        <v>1271</v>
      </c>
      <c r="C26" s="11"/>
      <c r="D26" s="28" t="s">
        <v>1272</v>
      </c>
      <c r="E26" s="28">
        <v>4.0</v>
      </c>
      <c r="G26" s="45"/>
      <c r="H26" s="119"/>
      <c r="I26" s="45"/>
    </row>
    <row r="27">
      <c r="A27" s="117"/>
      <c r="B27" s="142" t="s">
        <v>1273</v>
      </c>
      <c r="C27" s="11"/>
      <c r="D27" s="142" t="s">
        <v>1270</v>
      </c>
      <c r="E27" s="28">
        <v>2.0</v>
      </c>
      <c r="G27" s="45"/>
      <c r="H27" s="119"/>
      <c r="I27" s="45"/>
    </row>
    <row r="28">
      <c r="A28" s="117"/>
      <c r="B28" s="142" t="s">
        <v>1271</v>
      </c>
      <c r="C28" s="11"/>
      <c r="D28" s="28" t="s">
        <v>534</v>
      </c>
      <c r="E28" s="28">
        <v>4.0</v>
      </c>
      <c r="G28" s="45"/>
      <c r="H28" s="56"/>
      <c r="I28" s="45"/>
    </row>
    <row r="29">
      <c r="A29" s="117"/>
      <c r="B29" s="142" t="s">
        <v>1273</v>
      </c>
      <c r="C29" s="11"/>
      <c r="D29" s="28" t="s">
        <v>1272</v>
      </c>
      <c r="E29" s="28">
        <v>2.0</v>
      </c>
      <c r="G29" s="45"/>
      <c r="H29" s="119"/>
      <c r="I29" s="45"/>
    </row>
    <row r="30">
      <c r="A30" s="117"/>
      <c r="B30" s="142" t="s">
        <v>1271</v>
      </c>
      <c r="C30" s="11"/>
      <c r="D30" s="142" t="s">
        <v>1270</v>
      </c>
      <c r="E30" s="28">
        <v>4.0</v>
      </c>
      <c r="G30" s="45"/>
      <c r="H30" s="119"/>
      <c r="I30" s="45"/>
    </row>
    <row r="31">
      <c r="A31" s="117"/>
      <c r="B31" s="142" t="s">
        <v>1273</v>
      </c>
      <c r="C31" s="11"/>
      <c r="D31" s="28" t="s">
        <v>534</v>
      </c>
      <c r="E31" s="28">
        <v>2.0</v>
      </c>
      <c r="G31" s="45"/>
      <c r="H31" s="119"/>
      <c r="I31" s="45"/>
    </row>
    <row r="32">
      <c r="A32" s="117"/>
      <c r="B32" s="142" t="s">
        <v>1272</v>
      </c>
      <c r="C32" s="11"/>
      <c r="D32" s="142" t="s">
        <v>1270</v>
      </c>
      <c r="E32" s="28">
        <v>4.0</v>
      </c>
      <c r="G32" s="45"/>
      <c r="H32" s="119"/>
      <c r="I32" s="45"/>
    </row>
    <row r="33">
      <c r="A33" s="117"/>
      <c r="B33" s="142" t="s">
        <v>1273</v>
      </c>
      <c r="C33" s="11"/>
      <c r="D33" s="28" t="s">
        <v>1271</v>
      </c>
      <c r="E33" s="28">
        <v>2.0</v>
      </c>
      <c r="G33" s="45"/>
      <c r="H33" s="119"/>
      <c r="I33" s="45"/>
    </row>
    <row r="34">
      <c r="A34" s="117"/>
      <c r="B34" s="142" t="s">
        <v>1272</v>
      </c>
      <c r="C34" s="11"/>
      <c r="D34" s="28" t="s">
        <v>534</v>
      </c>
      <c r="E34" s="28">
        <v>4.0</v>
      </c>
      <c r="G34" s="45"/>
      <c r="H34" s="119"/>
      <c r="I34" s="45"/>
    </row>
    <row r="35">
      <c r="A35" s="117"/>
      <c r="B35" s="142" t="s">
        <v>534</v>
      </c>
      <c r="C35" s="11"/>
      <c r="D35" s="142" t="s">
        <v>1270</v>
      </c>
      <c r="E35" s="28">
        <v>2.0</v>
      </c>
      <c r="G35" s="45"/>
      <c r="H35" s="119"/>
      <c r="I35" s="45"/>
    </row>
    <row r="36">
      <c r="A36" s="117"/>
      <c r="B36" s="142" t="s">
        <v>1272</v>
      </c>
      <c r="C36" s="11"/>
      <c r="D36" s="28" t="s">
        <v>1271</v>
      </c>
      <c r="E36" s="28">
        <v>4.0</v>
      </c>
      <c r="G36" s="45"/>
      <c r="H36" s="119"/>
      <c r="I36" s="45"/>
    </row>
    <row r="37">
      <c r="A37" s="117"/>
      <c r="B37" s="142" t="s">
        <v>1270</v>
      </c>
      <c r="C37" s="8"/>
      <c r="D37" s="28" t="s">
        <v>1273</v>
      </c>
      <c r="E37" s="28">
        <v>2.0</v>
      </c>
      <c r="G37" s="45"/>
      <c r="H37" s="56"/>
      <c r="I37" s="45"/>
    </row>
    <row r="38">
      <c r="A38" s="117"/>
      <c r="B38" s="142" t="s">
        <v>534</v>
      </c>
      <c r="C38" s="8"/>
      <c r="D38" s="28" t="s">
        <v>1271</v>
      </c>
      <c r="E38" s="28">
        <v>4.0</v>
      </c>
      <c r="G38" s="45"/>
      <c r="H38" s="56"/>
      <c r="I38" s="45"/>
    </row>
    <row r="39">
      <c r="A39" s="117"/>
      <c r="B39" s="142" t="s">
        <v>1272</v>
      </c>
      <c r="C39" s="8"/>
      <c r="D39" s="28" t="s">
        <v>1273</v>
      </c>
      <c r="E39" s="28">
        <v>2.0</v>
      </c>
      <c r="G39" s="45"/>
      <c r="H39" s="56"/>
      <c r="I39" s="45"/>
    </row>
    <row r="40">
      <c r="A40" s="117"/>
      <c r="B40" s="142" t="s">
        <v>1270</v>
      </c>
      <c r="C40" s="8"/>
      <c r="D40" s="28" t="s">
        <v>1271</v>
      </c>
      <c r="E40" s="28">
        <v>4.0</v>
      </c>
      <c r="G40" s="45"/>
      <c r="H40" s="56"/>
      <c r="I40" s="45"/>
    </row>
    <row r="41">
      <c r="A41" s="117"/>
      <c r="B41" s="142" t="s">
        <v>534</v>
      </c>
      <c r="C41" s="8"/>
      <c r="D41" s="28" t="s">
        <v>1273</v>
      </c>
      <c r="E41" s="28">
        <v>2.0</v>
      </c>
      <c r="G41" s="45"/>
      <c r="H41" s="56"/>
      <c r="I41" s="45"/>
    </row>
    <row r="42">
      <c r="A42" s="117"/>
      <c r="B42" s="142" t="s">
        <v>1270</v>
      </c>
      <c r="C42" s="8"/>
      <c r="D42" s="28" t="s">
        <v>1272</v>
      </c>
      <c r="E42" s="28">
        <v>4.0</v>
      </c>
      <c r="G42" s="45"/>
      <c r="H42" s="56"/>
      <c r="I42" s="45"/>
    </row>
    <row r="43">
      <c r="A43" s="117"/>
      <c r="B43" s="142" t="s">
        <v>1271</v>
      </c>
      <c r="C43" s="8"/>
      <c r="D43" s="28" t="s">
        <v>1273</v>
      </c>
      <c r="E43" s="28">
        <v>2.0</v>
      </c>
      <c r="G43" s="45"/>
      <c r="H43" s="56"/>
      <c r="I43" s="45"/>
    </row>
    <row r="44">
      <c r="A44" s="117"/>
      <c r="B44" s="142" t="s">
        <v>534</v>
      </c>
      <c r="C44" s="8"/>
      <c r="D44" s="28" t="s">
        <v>1272</v>
      </c>
      <c r="E44" s="28">
        <v>4.0</v>
      </c>
      <c r="G44" s="45"/>
      <c r="H44" s="56"/>
      <c r="I44" s="45"/>
    </row>
    <row r="45">
      <c r="A45" s="29"/>
      <c r="B45" s="77" t="s">
        <v>700</v>
      </c>
      <c r="C45" s="59"/>
      <c r="D45" s="60"/>
      <c r="E45" s="141"/>
    </row>
    <row r="46">
      <c r="A46" s="29"/>
      <c r="B46" s="61" t="s">
        <v>3</v>
      </c>
      <c r="C46" s="63" t="s">
        <v>4</v>
      </c>
      <c r="D46" s="63" t="s">
        <v>5</v>
      </c>
      <c r="E46" s="63" t="s">
        <v>6</v>
      </c>
    </row>
    <row r="47">
      <c r="A47" s="29"/>
      <c r="B47" s="142" t="s">
        <v>1274</v>
      </c>
      <c r="C47" s="11"/>
      <c r="D47" s="28" t="s">
        <v>1275</v>
      </c>
      <c r="E47" s="28">
        <v>2.0</v>
      </c>
    </row>
    <row r="48">
      <c r="A48" s="29"/>
      <c r="B48" s="142" t="s">
        <v>123</v>
      </c>
      <c r="C48" s="11"/>
      <c r="D48" s="28" t="s">
        <v>1066</v>
      </c>
      <c r="E48" s="28">
        <v>4.0</v>
      </c>
    </row>
    <row r="49">
      <c r="A49" s="29"/>
      <c r="B49" s="142" t="s">
        <v>711</v>
      </c>
      <c r="C49" s="11"/>
      <c r="D49" s="142" t="s">
        <v>1274</v>
      </c>
      <c r="E49" s="28">
        <v>2.0</v>
      </c>
    </row>
    <row r="50">
      <c r="A50" s="29"/>
      <c r="B50" s="142" t="s">
        <v>123</v>
      </c>
      <c r="C50" s="11"/>
      <c r="D50" s="28" t="s">
        <v>1275</v>
      </c>
      <c r="E50" s="28">
        <v>4.0</v>
      </c>
    </row>
    <row r="51">
      <c r="A51" s="29"/>
      <c r="B51" s="142" t="s">
        <v>711</v>
      </c>
      <c r="C51" s="11"/>
      <c r="D51" s="28" t="s">
        <v>1066</v>
      </c>
      <c r="E51" s="28">
        <v>2.0</v>
      </c>
    </row>
    <row r="52">
      <c r="A52" s="29"/>
      <c r="B52" s="142" t="s">
        <v>123</v>
      </c>
      <c r="C52" s="11"/>
      <c r="D52" s="142" t="s">
        <v>1274</v>
      </c>
      <c r="E52" s="28">
        <v>4.0</v>
      </c>
    </row>
    <row r="53">
      <c r="A53" s="29"/>
      <c r="B53" s="142" t="s">
        <v>711</v>
      </c>
      <c r="C53" s="11"/>
      <c r="D53" s="28" t="s">
        <v>1275</v>
      </c>
      <c r="E53" s="28">
        <v>2.0</v>
      </c>
    </row>
    <row r="54">
      <c r="A54" s="29"/>
      <c r="B54" s="142" t="s">
        <v>1066</v>
      </c>
      <c r="C54" s="11"/>
      <c r="D54" s="142" t="s">
        <v>1274</v>
      </c>
      <c r="E54" s="28">
        <v>4.0</v>
      </c>
    </row>
    <row r="55">
      <c r="A55" s="29"/>
      <c r="B55" s="142" t="s">
        <v>711</v>
      </c>
      <c r="C55" s="11"/>
      <c r="D55" s="28" t="s">
        <v>123</v>
      </c>
      <c r="E55" s="28">
        <v>2.0</v>
      </c>
    </row>
    <row r="56">
      <c r="A56" s="29"/>
      <c r="B56" s="142" t="s">
        <v>1066</v>
      </c>
      <c r="C56" s="11"/>
      <c r="D56" s="28" t="s">
        <v>1275</v>
      </c>
      <c r="E56" s="28">
        <v>4.0</v>
      </c>
    </row>
    <row r="57">
      <c r="A57" s="29"/>
      <c r="B57" s="142" t="s">
        <v>1275</v>
      </c>
      <c r="C57" s="11"/>
      <c r="D57" s="142" t="s">
        <v>1274</v>
      </c>
      <c r="E57" s="28">
        <v>2.0</v>
      </c>
    </row>
    <row r="58">
      <c r="A58" s="29"/>
      <c r="B58" s="142" t="s">
        <v>1066</v>
      </c>
      <c r="C58" s="11"/>
      <c r="D58" s="28" t="s">
        <v>123</v>
      </c>
      <c r="E58" s="28">
        <v>4.0</v>
      </c>
    </row>
    <row r="59">
      <c r="A59" s="29"/>
      <c r="B59" s="142" t="s">
        <v>1274</v>
      </c>
      <c r="C59" s="8"/>
      <c r="D59" s="28" t="s">
        <v>711</v>
      </c>
      <c r="E59" s="28">
        <v>2.0</v>
      </c>
    </row>
    <row r="60">
      <c r="A60" s="29"/>
      <c r="B60" s="142" t="s">
        <v>1275</v>
      </c>
      <c r="C60" s="8"/>
      <c r="D60" s="28" t="s">
        <v>123</v>
      </c>
      <c r="E60" s="28">
        <v>4.0</v>
      </c>
    </row>
    <row r="61">
      <c r="A61" s="29"/>
      <c r="B61" s="142" t="s">
        <v>1066</v>
      </c>
      <c r="C61" s="8"/>
      <c r="D61" s="28" t="s">
        <v>711</v>
      </c>
      <c r="E61" s="28">
        <v>2.0</v>
      </c>
    </row>
    <row r="62">
      <c r="A62" s="29"/>
      <c r="B62" s="142" t="s">
        <v>1274</v>
      </c>
      <c r="C62" s="8"/>
      <c r="D62" s="28" t="s">
        <v>123</v>
      </c>
      <c r="E62" s="28">
        <v>4.0</v>
      </c>
    </row>
    <row r="63">
      <c r="A63" s="29"/>
      <c r="B63" s="142" t="s">
        <v>1275</v>
      </c>
      <c r="C63" s="8"/>
      <c r="D63" s="28" t="s">
        <v>711</v>
      </c>
      <c r="E63" s="28">
        <v>2.0</v>
      </c>
    </row>
    <row r="64">
      <c r="A64" s="29"/>
      <c r="B64" s="142" t="s">
        <v>1274</v>
      </c>
      <c r="C64" s="8"/>
      <c r="D64" s="28" t="s">
        <v>1066</v>
      </c>
      <c r="E64" s="28">
        <v>4.0</v>
      </c>
    </row>
    <row r="65">
      <c r="A65" s="29"/>
      <c r="B65" s="142" t="s">
        <v>123</v>
      </c>
      <c r="C65" s="8"/>
      <c r="D65" s="28" t="s">
        <v>711</v>
      </c>
      <c r="E65" s="28">
        <v>2.0</v>
      </c>
    </row>
    <row r="66">
      <c r="A66" s="29"/>
      <c r="B66" s="142" t="s">
        <v>1275</v>
      </c>
      <c r="C66" s="8"/>
      <c r="D66" s="28" t="s">
        <v>1066</v>
      </c>
      <c r="E66" s="28">
        <v>4.0</v>
      </c>
    </row>
    <row r="67">
      <c r="A67" s="29"/>
      <c r="B67" s="77" t="s">
        <v>1276</v>
      </c>
      <c r="C67" s="59"/>
      <c r="D67" s="60"/>
      <c r="E67" s="141"/>
    </row>
    <row r="68">
      <c r="A68" s="29"/>
      <c r="B68" s="61" t="s">
        <v>3</v>
      </c>
      <c r="C68" s="63" t="s">
        <v>4</v>
      </c>
      <c r="D68" s="63" t="s">
        <v>5</v>
      </c>
      <c r="E68" s="63" t="s">
        <v>6</v>
      </c>
    </row>
    <row r="69">
      <c r="A69" s="29"/>
      <c r="B69" s="142" t="s">
        <v>1277</v>
      </c>
      <c r="C69" s="11"/>
      <c r="D69" s="28" t="s">
        <v>445</v>
      </c>
      <c r="E69" s="28">
        <v>2.0</v>
      </c>
    </row>
    <row r="70">
      <c r="A70" s="29"/>
      <c r="B70" s="142" t="s">
        <v>439</v>
      </c>
      <c r="C70" s="11"/>
      <c r="D70" s="28" t="s">
        <v>784</v>
      </c>
      <c r="E70" s="28">
        <v>4.0</v>
      </c>
    </row>
    <row r="71">
      <c r="A71" s="29"/>
      <c r="B71" s="142" t="s">
        <v>1278</v>
      </c>
      <c r="C71" s="11"/>
      <c r="D71" s="142" t="s">
        <v>1277</v>
      </c>
      <c r="E71" s="28">
        <v>2.0</v>
      </c>
    </row>
    <row r="72">
      <c r="A72" s="29"/>
      <c r="B72" s="142" t="s">
        <v>439</v>
      </c>
      <c r="C72" s="11"/>
      <c r="D72" s="28" t="s">
        <v>445</v>
      </c>
      <c r="E72" s="28">
        <v>4.0</v>
      </c>
    </row>
    <row r="73">
      <c r="A73" s="29"/>
      <c r="B73" s="142" t="s">
        <v>1278</v>
      </c>
      <c r="C73" s="11"/>
      <c r="D73" s="28" t="s">
        <v>784</v>
      </c>
      <c r="E73" s="28">
        <v>2.0</v>
      </c>
    </row>
    <row r="74">
      <c r="A74" s="29"/>
      <c r="B74" s="142" t="s">
        <v>439</v>
      </c>
      <c r="C74" s="11"/>
      <c r="D74" s="142" t="s">
        <v>1277</v>
      </c>
      <c r="E74" s="28">
        <v>4.0</v>
      </c>
    </row>
    <row r="75">
      <c r="A75" s="29"/>
      <c r="B75" s="142" t="s">
        <v>1278</v>
      </c>
      <c r="C75" s="11"/>
      <c r="D75" s="28" t="s">
        <v>445</v>
      </c>
      <c r="E75" s="28">
        <v>2.0</v>
      </c>
    </row>
    <row r="76">
      <c r="A76" s="29"/>
      <c r="B76" s="142" t="s">
        <v>784</v>
      </c>
      <c r="C76" s="11"/>
      <c r="D76" s="142" t="s">
        <v>1277</v>
      </c>
      <c r="E76" s="28">
        <v>4.0</v>
      </c>
    </row>
    <row r="77">
      <c r="A77" s="29"/>
      <c r="B77" s="142" t="s">
        <v>1278</v>
      </c>
      <c r="C77" s="11"/>
      <c r="D77" s="28" t="s">
        <v>439</v>
      </c>
      <c r="E77" s="28">
        <v>2.0</v>
      </c>
    </row>
    <row r="78">
      <c r="A78" s="29"/>
      <c r="B78" s="142" t="s">
        <v>784</v>
      </c>
      <c r="C78" s="11"/>
      <c r="D78" s="28" t="s">
        <v>445</v>
      </c>
      <c r="E78" s="28">
        <v>4.0</v>
      </c>
    </row>
    <row r="79">
      <c r="A79" s="29"/>
      <c r="B79" s="142" t="s">
        <v>445</v>
      </c>
      <c r="C79" s="11"/>
      <c r="D79" s="142" t="s">
        <v>1277</v>
      </c>
      <c r="E79" s="28">
        <v>2.0</v>
      </c>
    </row>
    <row r="80">
      <c r="A80" s="29"/>
      <c r="B80" s="142" t="s">
        <v>784</v>
      </c>
      <c r="C80" s="11"/>
      <c r="D80" s="28" t="s">
        <v>439</v>
      </c>
      <c r="E80" s="28">
        <v>4.0</v>
      </c>
    </row>
    <row r="81">
      <c r="A81" s="29"/>
      <c r="B81" s="142" t="s">
        <v>1277</v>
      </c>
      <c r="C81" s="8"/>
      <c r="D81" s="28" t="s">
        <v>1278</v>
      </c>
      <c r="E81" s="28">
        <v>2.0</v>
      </c>
    </row>
    <row r="82">
      <c r="A82" s="29"/>
      <c r="B82" s="142" t="s">
        <v>445</v>
      </c>
      <c r="C82" s="8"/>
      <c r="D82" s="28" t="s">
        <v>439</v>
      </c>
      <c r="E82" s="28">
        <v>4.0</v>
      </c>
    </row>
    <row r="83">
      <c r="A83" s="29"/>
      <c r="B83" s="142" t="s">
        <v>784</v>
      </c>
      <c r="C83" s="8"/>
      <c r="D83" s="28" t="s">
        <v>1278</v>
      </c>
      <c r="E83" s="28">
        <v>2.0</v>
      </c>
    </row>
    <row r="84">
      <c r="A84" s="29"/>
      <c r="B84" s="142" t="s">
        <v>1277</v>
      </c>
      <c r="C84" s="8"/>
      <c r="D84" s="28" t="s">
        <v>439</v>
      </c>
      <c r="E84" s="28">
        <v>4.0</v>
      </c>
    </row>
    <row r="85">
      <c r="A85" s="29"/>
      <c r="B85" s="142" t="s">
        <v>445</v>
      </c>
      <c r="C85" s="8"/>
      <c r="D85" s="28" t="s">
        <v>1278</v>
      </c>
      <c r="E85" s="28">
        <v>2.0</v>
      </c>
    </row>
    <row r="86">
      <c r="A86" s="29"/>
      <c r="B86" s="142" t="s">
        <v>1277</v>
      </c>
      <c r="C86" s="8"/>
      <c r="D86" s="28" t="s">
        <v>784</v>
      </c>
      <c r="E86" s="28">
        <v>4.0</v>
      </c>
    </row>
    <row r="87">
      <c r="A87" s="29"/>
      <c r="B87" s="142" t="s">
        <v>439</v>
      </c>
      <c r="C87" s="8"/>
      <c r="D87" s="28" t="s">
        <v>1278</v>
      </c>
      <c r="E87" s="28">
        <v>2.0</v>
      </c>
    </row>
    <row r="88">
      <c r="A88" s="29"/>
      <c r="B88" s="142" t="s">
        <v>445</v>
      </c>
      <c r="C88" s="8"/>
      <c r="D88" s="28" t="s">
        <v>784</v>
      </c>
      <c r="E88" s="28">
        <v>4.0</v>
      </c>
    </row>
    <row r="89">
      <c r="A89" s="29"/>
      <c r="B89" s="29"/>
      <c r="C89" s="29"/>
      <c r="D89" s="29"/>
      <c r="E89" s="29"/>
    </row>
    <row r="90">
      <c r="A90" s="29"/>
      <c r="B90" s="29"/>
      <c r="C90" s="29"/>
      <c r="D90" s="29"/>
      <c r="E90" s="29"/>
    </row>
    <row r="91">
      <c r="A91" s="29"/>
      <c r="B91" s="29"/>
      <c r="C91" s="29"/>
      <c r="D91" s="29"/>
      <c r="E91" s="29"/>
    </row>
    <row r="92">
      <c r="A92" s="29"/>
      <c r="B92" s="29"/>
      <c r="C92" s="29"/>
      <c r="D92" s="29"/>
      <c r="E92" s="29"/>
    </row>
    <row r="93">
      <c r="A93" s="29"/>
      <c r="B93" s="29"/>
      <c r="C93" s="29"/>
      <c r="D93" s="29"/>
      <c r="E93" s="29"/>
    </row>
    <row r="94">
      <c r="A94" s="29"/>
      <c r="B94" s="29"/>
      <c r="C94" s="29"/>
      <c r="D94" s="29"/>
      <c r="E94" s="29"/>
    </row>
    <row r="95">
      <c r="A95" s="29"/>
      <c r="B95" s="29"/>
      <c r="C95" s="29"/>
      <c r="D95" s="29"/>
      <c r="E95" s="29"/>
    </row>
    <row r="96">
      <c r="A96" s="29"/>
      <c r="B96" s="29"/>
      <c r="C96" s="29"/>
      <c r="D96" s="29"/>
      <c r="E96" s="29"/>
    </row>
    <row r="97">
      <c r="A97" s="29"/>
      <c r="B97" s="29"/>
      <c r="C97" s="29"/>
      <c r="D97" s="29"/>
      <c r="E97" s="29"/>
    </row>
    <row r="98">
      <c r="A98" s="29"/>
      <c r="B98" s="29"/>
      <c r="C98" s="29"/>
      <c r="D98" s="29"/>
      <c r="E98" s="29"/>
    </row>
    <row r="99">
      <c r="A99" s="29"/>
      <c r="B99" s="29"/>
      <c r="C99" s="29"/>
      <c r="D99" s="29"/>
      <c r="E99" s="29"/>
    </row>
    <row r="100">
      <c r="A100" s="29"/>
      <c r="B100" s="29"/>
      <c r="C100" s="29"/>
      <c r="D100" s="29"/>
      <c r="E100" s="29"/>
    </row>
    <row r="101">
      <c r="A101" s="29"/>
      <c r="B101" s="29"/>
      <c r="C101" s="29"/>
      <c r="D101" s="29"/>
      <c r="E101" s="29"/>
    </row>
    <row r="102">
      <c r="A102" s="29"/>
      <c r="B102" s="29"/>
      <c r="C102" s="29"/>
      <c r="D102" s="29"/>
      <c r="E102" s="29"/>
    </row>
    <row r="103">
      <c r="A103" s="29"/>
      <c r="B103" s="29"/>
      <c r="C103" s="29"/>
      <c r="D103" s="29"/>
      <c r="E103" s="29"/>
    </row>
    <row r="104">
      <c r="A104" s="29"/>
      <c r="B104" s="29"/>
      <c r="C104" s="29"/>
      <c r="D104" s="29"/>
      <c r="E104" s="29"/>
    </row>
    <row r="105">
      <c r="A105" s="29"/>
      <c r="B105" s="29"/>
      <c r="C105" s="29"/>
      <c r="D105" s="29"/>
      <c r="E105" s="29"/>
    </row>
    <row r="106">
      <c r="A106" s="29"/>
      <c r="B106" s="29"/>
      <c r="C106" s="29"/>
      <c r="D106" s="29"/>
      <c r="E106" s="29"/>
    </row>
    <row r="107">
      <c r="A107" s="29"/>
      <c r="B107" s="29"/>
      <c r="C107" s="29"/>
      <c r="D107" s="29"/>
      <c r="E107" s="29"/>
    </row>
    <row r="108">
      <c r="A108" s="29"/>
      <c r="B108" s="29"/>
      <c r="C108" s="29"/>
      <c r="D108" s="29"/>
      <c r="E108" s="29"/>
    </row>
    <row r="109">
      <c r="A109" s="29"/>
      <c r="B109" s="29"/>
      <c r="C109" s="29"/>
      <c r="D109" s="29"/>
      <c r="E109" s="29"/>
    </row>
    <row r="110">
      <c r="A110" s="29"/>
      <c r="B110" s="29"/>
      <c r="C110" s="29"/>
      <c r="D110" s="29"/>
      <c r="E110" s="29"/>
    </row>
    <row r="111">
      <c r="A111" s="29"/>
      <c r="B111" s="29"/>
      <c r="C111" s="29"/>
      <c r="D111" s="29"/>
      <c r="E111" s="29"/>
    </row>
    <row r="112">
      <c r="A112" s="29"/>
      <c r="B112" s="29"/>
      <c r="C112" s="29"/>
      <c r="D112" s="29"/>
      <c r="E112" s="29"/>
    </row>
    <row r="113">
      <c r="A113" s="29"/>
      <c r="B113" s="29"/>
      <c r="C113" s="29"/>
      <c r="D113" s="29"/>
      <c r="E113" s="29"/>
    </row>
    <row r="114">
      <c r="A114" s="29"/>
      <c r="B114" s="29"/>
      <c r="C114" s="29"/>
      <c r="D114" s="29"/>
      <c r="E114" s="29"/>
    </row>
    <row r="115">
      <c r="A115" s="29"/>
      <c r="B115" s="29"/>
      <c r="C115" s="29"/>
      <c r="D115" s="29"/>
      <c r="E115" s="29"/>
    </row>
    <row r="116">
      <c r="A116" s="29"/>
      <c r="B116" s="29"/>
      <c r="C116" s="29"/>
      <c r="D116" s="29"/>
      <c r="E116" s="29"/>
    </row>
    <row r="117">
      <c r="A117" s="29"/>
      <c r="B117" s="29"/>
      <c r="C117" s="29"/>
      <c r="D117" s="29"/>
      <c r="E117" s="29"/>
    </row>
    <row r="118">
      <c r="A118" s="29"/>
      <c r="B118" s="29"/>
      <c r="C118" s="29"/>
      <c r="D118" s="29"/>
      <c r="E118" s="29"/>
    </row>
    <row r="119">
      <c r="A119" s="29"/>
      <c r="B119" s="29"/>
      <c r="C119" s="29"/>
      <c r="D119" s="29"/>
      <c r="E119" s="29"/>
    </row>
    <row r="120">
      <c r="A120" s="29"/>
      <c r="B120" s="29"/>
      <c r="C120" s="29"/>
      <c r="D120" s="29"/>
      <c r="E120" s="29"/>
    </row>
    <row r="121">
      <c r="A121" s="29"/>
      <c r="B121" s="29"/>
      <c r="C121" s="29"/>
      <c r="D121" s="29"/>
      <c r="E121" s="29"/>
    </row>
    <row r="122">
      <c r="A122" s="29"/>
      <c r="B122" s="29"/>
      <c r="C122" s="29"/>
      <c r="D122" s="29"/>
      <c r="E122" s="29"/>
    </row>
    <row r="123">
      <c r="A123" s="29"/>
      <c r="B123" s="29"/>
      <c r="C123" s="29"/>
      <c r="D123" s="29"/>
      <c r="E123" s="29"/>
    </row>
    <row r="124">
      <c r="A124" s="29"/>
      <c r="B124" s="29"/>
      <c r="C124" s="29"/>
      <c r="D124" s="29"/>
      <c r="E124" s="29"/>
    </row>
    <row r="125">
      <c r="A125" s="29"/>
      <c r="B125" s="29"/>
      <c r="C125" s="29"/>
      <c r="D125" s="29"/>
      <c r="E125" s="29"/>
    </row>
    <row r="126">
      <c r="A126" s="29"/>
      <c r="B126" s="29"/>
      <c r="C126" s="29"/>
      <c r="D126" s="29"/>
      <c r="E126" s="29"/>
    </row>
    <row r="127">
      <c r="A127" s="29"/>
      <c r="B127" s="29"/>
      <c r="C127" s="29"/>
      <c r="D127" s="29"/>
      <c r="E127" s="29"/>
    </row>
    <row r="128">
      <c r="A128" s="29"/>
      <c r="B128" s="29"/>
      <c r="C128" s="29"/>
      <c r="D128" s="29"/>
      <c r="E128" s="29"/>
    </row>
    <row r="129">
      <c r="A129" s="29"/>
      <c r="B129" s="29"/>
      <c r="C129" s="29"/>
      <c r="D129" s="29"/>
      <c r="E129" s="29"/>
    </row>
    <row r="130">
      <c r="A130" s="29"/>
      <c r="B130" s="29"/>
      <c r="C130" s="29"/>
      <c r="D130" s="29"/>
      <c r="E130" s="29"/>
    </row>
    <row r="131">
      <c r="A131" s="29"/>
      <c r="B131" s="29"/>
      <c r="C131" s="29"/>
      <c r="D131" s="29"/>
      <c r="E131" s="29"/>
    </row>
    <row r="132">
      <c r="A132" s="29"/>
      <c r="B132" s="29"/>
      <c r="C132" s="29"/>
      <c r="D132" s="29"/>
      <c r="E132" s="29"/>
    </row>
    <row r="133">
      <c r="A133" s="29"/>
      <c r="B133" s="29"/>
      <c r="C133" s="29"/>
      <c r="D133" s="29"/>
      <c r="E133" s="29"/>
    </row>
    <row r="134">
      <c r="A134" s="29"/>
      <c r="B134" s="29"/>
      <c r="C134" s="29"/>
      <c r="D134" s="29"/>
      <c r="E134" s="29"/>
    </row>
    <row r="135">
      <c r="A135" s="29"/>
      <c r="B135" s="29"/>
      <c r="C135" s="29"/>
      <c r="D135" s="29"/>
      <c r="E135" s="29"/>
    </row>
    <row r="136">
      <c r="A136" s="29"/>
      <c r="B136" s="29"/>
      <c r="C136" s="29"/>
      <c r="D136" s="29"/>
      <c r="E136" s="29"/>
    </row>
    <row r="137">
      <c r="A137" s="29"/>
      <c r="B137" s="29"/>
      <c r="C137" s="29"/>
      <c r="D137" s="29"/>
      <c r="E137" s="29"/>
    </row>
    <row r="138">
      <c r="A138" s="29"/>
      <c r="B138" s="29"/>
      <c r="C138" s="29"/>
      <c r="D138" s="29"/>
      <c r="E138" s="29"/>
    </row>
    <row r="139">
      <c r="A139" s="29"/>
      <c r="B139" s="29"/>
      <c r="C139" s="29"/>
      <c r="D139" s="29"/>
      <c r="E139" s="29"/>
    </row>
    <row r="140">
      <c r="A140" s="29"/>
      <c r="B140" s="29"/>
      <c r="C140" s="29"/>
      <c r="D140" s="29"/>
      <c r="E140" s="29"/>
    </row>
    <row r="141">
      <c r="A141" s="29"/>
      <c r="B141" s="29"/>
      <c r="C141" s="29"/>
      <c r="D141" s="29"/>
      <c r="E141" s="29"/>
    </row>
    <row r="142">
      <c r="A142" s="29"/>
      <c r="B142" s="29"/>
      <c r="C142" s="29"/>
      <c r="D142" s="29"/>
      <c r="E142" s="29"/>
    </row>
    <row r="143">
      <c r="A143" s="29"/>
      <c r="B143" s="29"/>
      <c r="C143" s="29"/>
      <c r="D143" s="29"/>
      <c r="E143" s="29"/>
    </row>
    <row r="144">
      <c r="A144" s="29"/>
      <c r="B144" s="29"/>
      <c r="C144" s="29"/>
      <c r="D144" s="29"/>
      <c r="E144" s="29"/>
    </row>
    <row r="145">
      <c r="A145" s="29"/>
      <c r="B145" s="29"/>
      <c r="C145" s="29"/>
      <c r="D145" s="29"/>
      <c r="E145" s="29"/>
    </row>
    <row r="146">
      <c r="A146" s="29"/>
      <c r="B146" s="29"/>
      <c r="C146" s="29"/>
      <c r="D146" s="29"/>
      <c r="E146" s="29"/>
    </row>
    <row r="147">
      <c r="A147" s="29"/>
      <c r="B147" s="29"/>
      <c r="C147" s="29"/>
      <c r="D147" s="29"/>
      <c r="E147" s="29"/>
    </row>
    <row r="148">
      <c r="A148" s="29"/>
      <c r="B148" s="29"/>
      <c r="C148" s="29"/>
      <c r="D148" s="29"/>
      <c r="E148" s="29"/>
    </row>
    <row r="149">
      <c r="A149" s="29"/>
      <c r="B149" s="29"/>
      <c r="C149" s="29"/>
      <c r="D149" s="29"/>
      <c r="E149" s="29"/>
    </row>
    <row r="150">
      <c r="A150" s="29"/>
      <c r="B150" s="29"/>
      <c r="C150" s="29"/>
      <c r="D150" s="29"/>
      <c r="E150" s="29"/>
    </row>
    <row r="151">
      <c r="A151" s="29"/>
      <c r="B151" s="29"/>
      <c r="C151" s="29"/>
      <c r="D151" s="29"/>
      <c r="E151" s="29"/>
    </row>
    <row r="152">
      <c r="A152" s="29"/>
      <c r="B152" s="29"/>
      <c r="C152" s="29"/>
      <c r="D152" s="29"/>
      <c r="E152" s="29"/>
    </row>
    <row r="153">
      <c r="A153" s="29"/>
      <c r="B153" s="29"/>
      <c r="C153" s="29"/>
      <c r="D153" s="29"/>
      <c r="E153" s="29"/>
    </row>
    <row r="154">
      <c r="A154" s="29"/>
      <c r="B154" s="29"/>
      <c r="C154" s="29"/>
      <c r="D154" s="29"/>
      <c r="E154" s="29"/>
    </row>
    <row r="155">
      <c r="A155" s="29"/>
      <c r="B155" s="29"/>
      <c r="C155" s="29"/>
      <c r="D155" s="29"/>
      <c r="E155" s="29"/>
    </row>
    <row r="156">
      <c r="A156" s="29"/>
      <c r="B156" s="29"/>
      <c r="C156" s="29"/>
      <c r="D156" s="29"/>
      <c r="E156" s="29"/>
    </row>
    <row r="157">
      <c r="A157" s="29"/>
      <c r="B157" s="29"/>
      <c r="C157" s="29"/>
      <c r="D157" s="29"/>
      <c r="E157" s="29"/>
    </row>
    <row r="158">
      <c r="A158" s="29"/>
      <c r="B158" s="29"/>
      <c r="C158" s="29"/>
      <c r="D158" s="29"/>
      <c r="E158" s="29"/>
    </row>
    <row r="159">
      <c r="A159" s="29"/>
      <c r="B159" s="29"/>
      <c r="C159" s="29"/>
      <c r="D159" s="29"/>
      <c r="E159" s="29"/>
    </row>
    <row r="160">
      <c r="A160" s="29"/>
      <c r="B160" s="29"/>
      <c r="C160" s="29"/>
      <c r="D160" s="29"/>
      <c r="E160" s="29"/>
    </row>
    <row r="161">
      <c r="A161" s="29"/>
      <c r="B161" s="29"/>
      <c r="C161" s="29"/>
      <c r="D161" s="29"/>
      <c r="E161" s="29"/>
    </row>
    <row r="162">
      <c r="A162" s="29"/>
      <c r="B162" s="29"/>
      <c r="C162" s="29"/>
      <c r="D162" s="29"/>
      <c r="E162" s="29"/>
    </row>
    <row r="163">
      <c r="A163" s="29"/>
      <c r="B163" s="29"/>
      <c r="C163" s="29"/>
      <c r="D163" s="29"/>
      <c r="E163" s="29"/>
    </row>
    <row r="164">
      <c r="A164" s="29"/>
      <c r="B164" s="29"/>
      <c r="C164" s="29"/>
      <c r="D164" s="29"/>
      <c r="E164" s="29"/>
    </row>
    <row r="165">
      <c r="A165" s="29"/>
      <c r="B165" s="29"/>
      <c r="C165" s="29"/>
      <c r="D165" s="29"/>
      <c r="E165" s="29"/>
    </row>
    <row r="166">
      <c r="A166" s="29"/>
      <c r="B166" s="29"/>
      <c r="C166" s="29"/>
      <c r="D166" s="29"/>
      <c r="E166" s="29"/>
    </row>
    <row r="167">
      <c r="A167" s="29"/>
      <c r="B167" s="29"/>
      <c r="C167" s="29"/>
      <c r="D167" s="29"/>
      <c r="E167" s="29"/>
    </row>
    <row r="168">
      <c r="A168" s="29"/>
      <c r="B168" s="29"/>
      <c r="C168" s="29"/>
      <c r="D168" s="29"/>
      <c r="E168" s="29"/>
    </row>
    <row r="169">
      <c r="A169" s="29"/>
      <c r="B169" s="29"/>
      <c r="C169" s="29"/>
      <c r="D169" s="29"/>
      <c r="E169" s="29"/>
    </row>
    <row r="170">
      <c r="A170" s="29"/>
      <c r="B170" s="29"/>
      <c r="C170" s="29"/>
      <c r="D170" s="29"/>
      <c r="E170" s="29"/>
    </row>
    <row r="171">
      <c r="A171" s="29"/>
      <c r="B171" s="29"/>
      <c r="C171" s="29"/>
      <c r="D171" s="29"/>
      <c r="E171" s="29"/>
    </row>
    <row r="172">
      <c r="A172" s="29"/>
      <c r="B172" s="29"/>
      <c r="C172" s="29"/>
      <c r="D172" s="29"/>
      <c r="E172" s="29"/>
    </row>
    <row r="173">
      <c r="A173" s="29"/>
      <c r="B173" s="29"/>
      <c r="C173" s="29"/>
      <c r="D173" s="29"/>
      <c r="E173" s="29"/>
    </row>
    <row r="174">
      <c r="A174" s="29"/>
      <c r="B174" s="29"/>
      <c r="C174" s="29"/>
      <c r="D174" s="29"/>
      <c r="E174" s="29"/>
    </row>
    <row r="175">
      <c r="A175" s="29"/>
      <c r="B175" s="29"/>
      <c r="C175" s="29"/>
      <c r="D175" s="29"/>
      <c r="E175" s="29"/>
    </row>
    <row r="176">
      <c r="A176" s="29"/>
      <c r="B176" s="29"/>
      <c r="C176" s="29"/>
      <c r="D176" s="29"/>
      <c r="E176" s="29"/>
    </row>
    <row r="177">
      <c r="A177" s="29"/>
      <c r="B177" s="29"/>
      <c r="C177" s="29"/>
      <c r="D177" s="29"/>
      <c r="E177" s="29"/>
    </row>
    <row r="178">
      <c r="A178" s="29"/>
      <c r="B178" s="29"/>
      <c r="C178" s="29"/>
      <c r="D178" s="29"/>
      <c r="E178" s="29"/>
    </row>
    <row r="179">
      <c r="A179" s="29"/>
      <c r="B179" s="29"/>
      <c r="C179" s="29"/>
      <c r="D179" s="29"/>
      <c r="E179" s="29"/>
    </row>
    <row r="180">
      <c r="A180" s="29"/>
      <c r="B180" s="29"/>
      <c r="C180" s="29"/>
      <c r="D180" s="29"/>
      <c r="E180" s="29"/>
    </row>
    <row r="181">
      <c r="A181" s="29"/>
      <c r="B181" s="29"/>
      <c r="C181" s="29"/>
      <c r="D181" s="29"/>
      <c r="E181" s="29"/>
    </row>
    <row r="182">
      <c r="A182" s="29"/>
      <c r="B182" s="29"/>
      <c r="C182" s="29"/>
      <c r="D182" s="29"/>
      <c r="E182" s="29"/>
    </row>
    <row r="183">
      <c r="A183" s="29"/>
      <c r="B183" s="29"/>
      <c r="C183" s="29"/>
      <c r="D183" s="29"/>
      <c r="E183" s="29"/>
    </row>
    <row r="184">
      <c r="A184" s="29"/>
      <c r="B184" s="29"/>
      <c r="C184" s="29"/>
      <c r="D184" s="29"/>
      <c r="E184" s="29"/>
    </row>
    <row r="185">
      <c r="A185" s="29"/>
      <c r="B185" s="29"/>
      <c r="C185" s="29"/>
      <c r="D185" s="29"/>
      <c r="E185" s="29"/>
    </row>
    <row r="186">
      <c r="A186" s="29"/>
      <c r="B186" s="29"/>
      <c r="C186" s="29"/>
      <c r="D186" s="29"/>
      <c r="E186" s="29"/>
    </row>
    <row r="187">
      <c r="A187" s="29"/>
      <c r="B187" s="29"/>
      <c r="C187" s="29"/>
      <c r="D187" s="29"/>
      <c r="E187" s="29"/>
    </row>
    <row r="188">
      <c r="A188" s="29"/>
      <c r="B188" s="29"/>
      <c r="C188" s="29"/>
      <c r="D188" s="29"/>
      <c r="E188" s="29"/>
    </row>
    <row r="189">
      <c r="A189" s="29"/>
      <c r="B189" s="29"/>
      <c r="C189" s="29"/>
      <c r="D189" s="29"/>
      <c r="E189" s="29"/>
    </row>
    <row r="190">
      <c r="A190" s="29"/>
      <c r="B190" s="29"/>
      <c r="C190" s="29"/>
      <c r="D190" s="29"/>
      <c r="E190" s="29"/>
    </row>
    <row r="191">
      <c r="A191" s="29"/>
      <c r="B191" s="29"/>
      <c r="C191" s="29"/>
      <c r="D191" s="29"/>
      <c r="E191" s="29"/>
    </row>
    <row r="192">
      <c r="A192" s="29"/>
      <c r="B192" s="29"/>
      <c r="C192" s="29"/>
      <c r="D192" s="29"/>
      <c r="E192" s="29"/>
    </row>
    <row r="193">
      <c r="A193" s="29"/>
      <c r="B193" s="29"/>
      <c r="C193" s="29"/>
      <c r="D193" s="29"/>
      <c r="E193" s="29"/>
    </row>
    <row r="194">
      <c r="A194" s="29"/>
      <c r="B194" s="29"/>
      <c r="C194" s="29"/>
      <c r="D194" s="29"/>
      <c r="E194" s="29"/>
    </row>
    <row r="195">
      <c r="A195" s="29"/>
      <c r="B195" s="29"/>
      <c r="C195" s="29"/>
      <c r="D195" s="29"/>
      <c r="E195" s="29"/>
    </row>
    <row r="196">
      <c r="A196" s="29"/>
      <c r="B196" s="29"/>
      <c r="C196" s="29"/>
      <c r="D196" s="29"/>
      <c r="E196" s="29"/>
    </row>
    <row r="197">
      <c r="A197" s="29"/>
      <c r="B197" s="29"/>
      <c r="C197" s="29"/>
      <c r="D197" s="29"/>
      <c r="E197" s="29"/>
    </row>
    <row r="198">
      <c r="A198" s="29"/>
      <c r="B198" s="29"/>
      <c r="C198" s="29"/>
      <c r="D198" s="29"/>
      <c r="E198" s="29"/>
    </row>
    <row r="199">
      <c r="A199" s="29"/>
      <c r="B199" s="29"/>
      <c r="C199" s="29"/>
      <c r="D199" s="29"/>
      <c r="E199" s="29"/>
    </row>
    <row r="200">
      <c r="A200" s="29"/>
      <c r="B200" s="29"/>
      <c r="C200" s="29"/>
      <c r="D200" s="29"/>
      <c r="E200" s="29"/>
    </row>
    <row r="201">
      <c r="A201" s="29"/>
      <c r="B201" s="29"/>
      <c r="C201" s="29"/>
      <c r="D201" s="29"/>
      <c r="E201" s="29"/>
    </row>
    <row r="202">
      <c r="A202" s="29"/>
      <c r="B202" s="29"/>
      <c r="C202" s="29"/>
      <c r="D202" s="29"/>
      <c r="E202" s="29"/>
    </row>
    <row r="203">
      <c r="A203" s="29"/>
      <c r="B203" s="29"/>
      <c r="C203" s="29"/>
      <c r="D203" s="29"/>
      <c r="E203" s="29"/>
    </row>
    <row r="204">
      <c r="A204" s="29"/>
      <c r="B204" s="29"/>
      <c r="C204" s="29"/>
      <c r="D204" s="29"/>
      <c r="E204" s="29"/>
    </row>
    <row r="205">
      <c r="A205" s="29"/>
      <c r="B205" s="29"/>
      <c r="C205" s="29"/>
      <c r="D205" s="29"/>
      <c r="E205" s="29"/>
    </row>
    <row r="206">
      <c r="A206" s="29"/>
      <c r="B206" s="29"/>
      <c r="C206" s="29"/>
      <c r="D206" s="29"/>
      <c r="E206" s="29"/>
    </row>
    <row r="207">
      <c r="A207" s="29"/>
      <c r="B207" s="29"/>
      <c r="C207" s="29"/>
      <c r="D207" s="29"/>
      <c r="E207" s="29"/>
    </row>
    <row r="208">
      <c r="A208" s="29"/>
      <c r="B208" s="29"/>
      <c r="C208" s="29"/>
      <c r="D208" s="29"/>
      <c r="E208" s="29"/>
    </row>
    <row r="209">
      <c r="A209" s="29"/>
      <c r="B209" s="29"/>
      <c r="C209" s="29"/>
      <c r="D209" s="29"/>
      <c r="E209" s="29"/>
    </row>
    <row r="210">
      <c r="A210" s="29"/>
      <c r="B210" s="29"/>
      <c r="C210" s="29"/>
      <c r="D210" s="29"/>
      <c r="E210" s="29"/>
    </row>
    <row r="211">
      <c r="A211" s="29"/>
      <c r="B211" s="29"/>
      <c r="C211" s="29"/>
      <c r="D211" s="29"/>
      <c r="E211" s="29"/>
    </row>
    <row r="212">
      <c r="A212" s="29"/>
      <c r="B212" s="29"/>
      <c r="C212" s="29"/>
      <c r="D212" s="29"/>
      <c r="E212" s="29"/>
    </row>
    <row r="213">
      <c r="A213" s="29"/>
      <c r="B213" s="29"/>
      <c r="C213" s="29"/>
      <c r="D213" s="29"/>
      <c r="E213" s="29"/>
    </row>
    <row r="214">
      <c r="A214" s="29"/>
      <c r="B214" s="29"/>
      <c r="C214" s="29"/>
      <c r="D214" s="29"/>
      <c r="E214" s="29"/>
    </row>
    <row r="215">
      <c r="A215" s="29"/>
      <c r="B215" s="29"/>
      <c r="C215" s="29"/>
      <c r="D215" s="29"/>
      <c r="E215" s="29"/>
    </row>
    <row r="216">
      <c r="A216" s="29"/>
      <c r="B216" s="29"/>
      <c r="C216" s="29"/>
      <c r="D216" s="29"/>
      <c r="E216" s="29"/>
    </row>
    <row r="217">
      <c r="A217" s="29"/>
      <c r="B217" s="29"/>
      <c r="C217" s="29"/>
      <c r="D217" s="29"/>
      <c r="E217" s="29"/>
    </row>
    <row r="218">
      <c r="A218" s="29"/>
      <c r="B218" s="29"/>
      <c r="C218" s="29"/>
      <c r="D218" s="29"/>
      <c r="E218" s="29"/>
    </row>
    <row r="219">
      <c r="A219" s="29"/>
      <c r="B219" s="29"/>
      <c r="C219" s="29"/>
      <c r="D219" s="29"/>
      <c r="E219" s="29"/>
    </row>
    <row r="220">
      <c r="A220" s="29"/>
      <c r="B220" s="29"/>
      <c r="C220" s="29"/>
      <c r="D220" s="29"/>
      <c r="E220" s="29"/>
    </row>
    <row r="221">
      <c r="A221" s="29"/>
      <c r="B221" s="29"/>
      <c r="C221" s="29"/>
      <c r="D221" s="29"/>
      <c r="E221" s="29"/>
    </row>
    <row r="222">
      <c r="A222" s="29"/>
      <c r="B222" s="29"/>
      <c r="C222" s="29"/>
      <c r="D222" s="29"/>
      <c r="E222" s="29"/>
    </row>
    <row r="223">
      <c r="A223" s="29"/>
      <c r="B223" s="29"/>
      <c r="C223" s="29"/>
      <c r="D223" s="29"/>
      <c r="E223" s="29"/>
    </row>
    <row r="224">
      <c r="A224" s="29"/>
      <c r="B224" s="29"/>
      <c r="C224" s="29"/>
      <c r="D224" s="29"/>
      <c r="E224" s="29"/>
    </row>
    <row r="225">
      <c r="A225" s="29"/>
      <c r="B225" s="29"/>
      <c r="C225" s="29"/>
      <c r="D225" s="29"/>
      <c r="E225" s="29"/>
    </row>
    <row r="226">
      <c r="A226" s="29"/>
      <c r="B226" s="29"/>
      <c r="C226" s="29"/>
      <c r="D226" s="29"/>
      <c r="E226" s="29"/>
    </row>
    <row r="227">
      <c r="A227" s="29"/>
      <c r="B227" s="29"/>
      <c r="C227" s="29"/>
      <c r="D227" s="29"/>
      <c r="E227" s="29"/>
    </row>
    <row r="228">
      <c r="A228" s="29"/>
      <c r="B228" s="29"/>
      <c r="C228" s="29"/>
      <c r="D228" s="29"/>
      <c r="E228" s="29"/>
    </row>
    <row r="229">
      <c r="A229" s="29"/>
      <c r="B229" s="29"/>
      <c r="C229" s="29"/>
      <c r="D229" s="29"/>
      <c r="E229" s="29"/>
    </row>
    <row r="230">
      <c r="A230" s="29"/>
      <c r="B230" s="29"/>
      <c r="C230" s="29"/>
      <c r="D230" s="29"/>
      <c r="E230" s="29"/>
    </row>
    <row r="231">
      <c r="A231" s="29"/>
      <c r="B231" s="29"/>
      <c r="C231" s="29"/>
      <c r="D231" s="29"/>
      <c r="E231" s="29"/>
    </row>
    <row r="232">
      <c r="A232" s="29"/>
      <c r="B232" s="29"/>
      <c r="C232" s="29"/>
      <c r="D232" s="29"/>
      <c r="E232" s="29"/>
    </row>
    <row r="233">
      <c r="A233" s="29"/>
      <c r="B233" s="29"/>
      <c r="C233" s="29"/>
      <c r="D233" s="29"/>
      <c r="E233" s="29"/>
    </row>
    <row r="234">
      <c r="A234" s="29"/>
      <c r="B234" s="29"/>
      <c r="C234" s="29"/>
      <c r="D234" s="29"/>
      <c r="E234" s="29"/>
    </row>
    <row r="235">
      <c r="A235" s="29"/>
      <c r="B235" s="29"/>
      <c r="C235" s="29"/>
      <c r="D235" s="29"/>
      <c r="E235" s="29"/>
    </row>
    <row r="236">
      <c r="A236" s="29"/>
      <c r="B236" s="29"/>
      <c r="C236" s="29"/>
      <c r="D236" s="29"/>
      <c r="E236" s="29"/>
    </row>
    <row r="237">
      <c r="A237" s="29"/>
      <c r="B237" s="29"/>
      <c r="C237" s="29"/>
      <c r="D237" s="29"/>
      <c r="E237" s="29"/>
    </row>
    <row r="238">
      <c r="A238" s="29"/>
      <c r="B238" s="29"/>
      <c r="C238" s="29"/>
      <c r="D238" s="29"/>
      <c r="E238" s="29"/>
    </row>
    <row r="239">
      <c r="A239" s="29"/>
      <c r="B239" s="29"/>
      <c r="C239" s="29"/>
      <c r="D239" s="29"/>
      <c r="E239" s="29"/>
    </row>
    <row r="240">
      <c r="A240" s="29"/>
      <c r="B240" s="29"/>
      <c r="C240" s="29"/>
      <c r="D240" s="29"/>
      <c r="E240" s="29"/>
    </row>
    <row r="241">
      <c r="A241" s="29"/>
      <c r="B241" s="29"/>
      <c r="C241" s="29"/>
      <c r="D241" s="29"/>
      <c r="E241" s="29"/>
    </row>
    <row r="242">
      <c r="A242" s="29"/>
      <c r="B242" s="29"/>
      <c r="C242" s="29"/>
      <c r="D242" s="29"/>
      <c r="E242" s="29"/>
    </row>
    <row r="243">
      <c r="A243" s="29"/>
      <c r="B243" s="29"/>
      <c r="C243" s="29"/>
      <c r="D243" s="29"/>
      <c r="E243" s="29"/>
    </row>
    <row r="244">
      <c r="A244" s="29"/>
      <c r="B244" s="29"/>
      <c r="C244" s="29"/>
      <c r="D244" s="29"/>
      <c r="E244" s="29"/>
    </row>
    <row r="245">
      <c r="A245" s="29"/>
      <c r="B245" s="29"/>
      <c r="C245" s="29"/>
      <c r="D245" s="29"/>
      <c r="E245" s="29"/>
    </row>
    <row r="246">
      <c r="A246" s="29"/>
      <c r="B246" s="29"/>
      <c r="C246" s="29"/>
      <c r="D246" s="29"/>
      <c r="E246" s="29"/>
    </row>
    <row r="247">
      <c r="A247" s="29"/>
      <c r="B247" s="29"/>
      <c r="C247" s="29"/>
      <c r="D247" s="29"/>
      <c r="E247" s="29"/>
    </row>
    <row r="248">
      <c r="A248" s="29"/>
      <c r="B248" s="29"/>
      <c r="C248" s="29"/>
      <c r="D248" s="29"/>
      <c r="E248" s="29"/>
    </row>
    <row r="249">
      <c r="A249" s="29"/>
      <c r="B249" s="29"/>
      <c r="C249" s="29"/>
      <c r="D249" s="29"/>
      <c r="E249" s="29"/>
    </row>
    <row r="250">
      <c r="A250" s="29"/>
      <c r="B250" s="29"/>
      <c r="C250" s="29"/>
      <c r="D250" s="29"/>
      <c r="E250" s="29"/>
    </row>
    <row r="251">
      <c r="A251" s="29"/>
      <c r="B251" s="29"/>
      <c r="C251" s="29"/>
      <c r="D251" s="29"/>
      <c r="E251" s="29"/>
    </row>
    <row r="252">
      <c r="A252" s="29"/>
      <c r="B252" s="29"/>
      <c r="C252" s="29"/>
      <c r="D252" s="29"/>
      <c r="E252" s="29"/>
    </row>
    <row r="253">
      <c r="A253" s="29"/>
      <c r="B253" s="29"/>
      <c r="C253" s="29"/>
      <c r="D253" s="29"/>
      <c r="E253" s="29"/>
    </row>
    <row r="254">
      <c r="A254" s="29"/>
      <c r="B254" s="29"/>
      <c r="C254" s="29"/>
      <c r="D254" s="29"/>
      <c r="E254" s="29"/>
    </row>
    <row r="255">
      <c r="A255" s="29"/>
      <c r="B255" s="29"/>
      <c r="C255" s="29"/>
      <c r="D255" s="29"/>
      <c r="E255" s="29"/>
    </row>
    <row r="256">
      <c r="A256" s="29"/>
      <c r="B256" s="29"/>
      <c r="C256" s="29"/>
      <c r="D256" s="29"/>
      <c r="E256" s="29"/>
    </row>
    <row r="257">
      <c r="A257" s="29"/>
      <c r="B257" s="29"/>
      <c r="C257" s="29"/>
      <c r="D257" s="29"/>
      <c r="E257" s="29"/>
    </row>
    <row r="258">
      <c r="A258" s="29"/>
      <c r="B258" s="29"/>
      <c r="C258" s="29"/>
      <c r="D258" s="29"/>
      <c r="E258" s="29"/>
    </row>
    <row r="259">
      <c r="A259" s="29"/>
      <c r="B259" s="29"/>
      <c r="C259" s="29"/>
      <c r="D259" s="29"/>
      <c r="E259" s="29"/>
    </row>
    <row r="260">
      <c r="A260" s="29"/>
      <c r="B260" s="29"/>
      <c r="C260" s="29"/>
      <c r="D260" s="29"/>
      <c r="E260" s="29"/>
    </row>
    <row r="261">
      <c r="A261" s="29"/>
      <c r="B261" s="29"/>
      <c r="C261" s="29"/>
      <c r="D261" s="29"/>
      <c r="E261" s="29"/>
    </row>
    <row r="262">
      <c r="A262" s="29"/>
      <c r="B262" s="29"/>
      <c r="C262" s="29"/>
      <c r="D262" s="29"/>
      <c r="E262" s="29"/>
    </row>
    <row r="263">
      <c r="A263" s="29"/>
      <c r="B263" s="29"/>
      <c r="C263" s="29"/>
      <c r="D263" s="29"/>
      <c r="E263" s="29"/>
    </row>
    <row r="264">
      <c r="A264" s="29"/>
      <c r="B264" s="29"/>
      <c r="C264" s="29"/>
      <c r="D264" s="29"/>
      <c r="E264" s="29"/>
    </row>
    <row r="265">
      <c r="A265" s="29"/>
      <c r="B265" s="29"/>
      <c r="C265" s="29"/>
      <c r="D265" s="29"/>
      <c r="E265" s="29"/>
    </row>
    <row r="266">
      <c r="A266" s="29"/>
      <c r="B266" s="29"/>
      <c r="C266" s="29"/>
      <c r="D266" s="29"/>
      <c r="E266" s="29"/>
    </row>
    <row r="267">
      <c r="A267" s="29"/>
      <c r="B267" s="29"/>
      <c r="C267" s="29"/>
      <c r="D267" s="29"/>
      <c r="E267" s="29"/>
    </row>
    <row r="268">
      <c r="A268" s="29"/>
      <c r="B268" s="29"/>
      <c r="C268" s="29"/>
      <c r="D268" s="29"/>
      <c r="E268" s="29"/>
    </row>
    <row r="269">
      <c r="A269" s="29"/>
      <c r="B269" s="29"/>
      <c r="C269" s="29"/>
      <c r="D269" s="29"/>
      <c r="E269" s="29"/>
    </row>
    <row r="270">
      <c r="A270" s="29"/>
      <c r="B270" s="29"/>
      <c r="C270" s="29"/>
      <c r="D270" s="29"/>
      <c r="E270" s="29"/>
    </row>
    <row r="271">
      <c r="A271" s="29"/>
      <c r="B271" s="29"/>
      <c r="C271" s="29"/>
      <c r="D271" s="29"/>
      <c r="E271" s="29"/>
    </row>
    <row r="272">
      <c r="A272" s="29"/>
      <c r="B272" s="29"/>
      <c r="C272" s="29"/>
      <c r="D272" s="29"/>
      <c r="E272" s="29"/>
    </row>
    <row r="273">
      <c r="A273" s="29"/>
      <c r="B273" s="29"/>
      <c r="C273" s="29"/>
      <c r="D273" s="29"/>
      <c r="E273" s="29"/>
    </row>
    <row r="274">
      <c r="A274" s="29"/>
      <c r="B274" s="29"/>
      <c r="C274" s="29"/>
      <c r="D274" s="29"/>
      <c r="E274" s="29"/>
    </row>
    <row r="275">
      <c r="A275" s="29"/>
      <c r="B275" s="29"/>
      <c r="C275" s="29"/>
      <c r="D275" s="29"/>
      <c r="E275" s="29"/>
    </row>
    <row r="276">
      <c r="A276" s="29"/>
      <c r="B276" s="29"/>
      <c r="C276" s="29"/>
      <c r="D276" s="29"/>
      <c r="E276" s="29"/>
    </row>
    <row r="277">
      <c r="A277" s="29"/>
      <c r="B277" s="29"/>
      <c r="C277" s="29"/>
      <c r="D277" s="29"/>
      <c r="E277" s="29"/>
    </row>
    <row r="278">
      <c r="A278" s="29"/>
      <c r="B278" s="29"/>
      <c r="C278" s="29"/>
      <c r="D278" s="29"/>
      <c r="E278" s="29"/>
    </row>
    <row r="279">
      <c r="A279" s="29"/>
      <c r="B279" s="29"/>
      <c r="C279" s="29"/>
      <c r="D279" s="29"/>
      <c r="E279" s="29"/>
    </row>
    <row r="280">
      <c r="A280" s="29"/>
      <c r="B280" s="29"/>
      <c r="C280" s="29"/>
      <c r="D280" s="29"/>
      <c r="E280" s="29"/>
    </row>
    <row r="281">
      <c r="A281" s="29"/>
      <c r="B281" s="29"/>
      <c r="C281" s="29"/>
      <c r="D281" s="29"/>
      <c r="E281" s="29"/>
    </row>
    <row r="282">
      <c r="A282" s="29"/>
      <c r="B282" s="29"/>
      <c r="C282" s="29"/>
      <c r="D282" s="29"/>
      <c r="E282" s="29"/>
    </row>
    <row r="283">
      <c r="A283" s="29"/>
      <c r="B283" s="29"/>
      <c r="C283" s="29"/>
      <c r="D283" s="29"/>
      <c r="E283" s="29"/>
    </row>
    <row r="284">
      <c r="A284" s="29"/>
      <c r="B284" s="29"/>
      <c r="C284" s="29"/>
      <c r="D284" s="29"/>
      <c r="E284" s="29"/>
    </row>
    <row r="285">
      <c r="A285" s="29"/>
      <c r="B285" s="29"/>
      <c r="C285" s="29"/>
      <c r="D285" s="29"/>
      <c r="E285" s="29"/>
    </row>
    <row r="286">
      <c r="A286" s="29"/>
      <c r="B286" s="29"/>
      <c r="C286" s="29"/>
      <c r="D286" s="29"/>
      <c r="E286" s="29"/>
    </row>
    <row r="287">
      <c r="A287" s="29"/>
      <c r="B287" s="29"/>
      <c r="C287" s="29"/>
      <c r="D287" s="29"/>
      <c r="E287" s="29"/>
    </row>
    <row r="288">
      <c r="A288" s="29"/>
      <c r="B288" s="29"/>
      <c r="C288" s="29"/>
      <c r="D288" s="29"/>
      <c r="E288" s="29"/>
    </row>
    <row r="289">
      <c r="A289" s="29"/>
      <c r="B289" s="29"/>
      <c r="C289" s="29"/>
      <c r="D289" s="29"/>
      <c r="E289" s="29"/>
    </row>
    <row r="290">
      <c r="A290" s="29"/>
      <c r="B290" s="29"/>
      <c r="C290" s="29"/>
      <c r="D290" s="29"/>
      <c r="E290" s="29"/>
    </row>
    <row r="291">
      <c r="A291" s="29"/>
      <c r="B291" s="29"/>
      <c r="C291" s="29"/>
      <c r="D291" s="29"/>
      <c r="E291" s="29"/>
    </row>
    <row r="292">
      <c r="A292" s="29"/>
      <c r="B292" s="29"/>
      <c r="C292" s="29"/>
      <c r="D292" s="29"/>
      <c r="E292" s="29"/>
    </row>
    <row r="293">
      <c r="A293" s="29"/>
      <c r="B293" s="29"/>
      <c r="C293" s="29"/>
      <c r="D293" s="29"/>
      <c r="E293" s="29"/>
    </row>
    <row r="294">
      <c r="A294" s="29"/>
      <c r="B294" s="29"/>
      <c r="C294" s="29"/>
      <c r="D294" s="29"/>
      <c r="E294" s="29"/>
    </row>
    <row r="295">
      <c r="A295" s="29"/>
      <c r="B295" s="29"/>
      <c r="C295" s="29"/>
      <c r="D295" s="29"/>
      <c r="E295" s="29"/>
    </row>
    <row r="296">
      <c r="A296" s="29"/>
      <c r="B296" s="29"/>
      <c r="C296" s="29"/>
      <c r="D296" s="29"/>
      <c r="E296" s="29"/>
    </row>
    <row r="297">
      <c r="A297" s="29"/>
      <c r="B297" s="29"/>
      <c r="C297" s="29"/>
      <c r="D297" s="29"/>
      <c r="E297" s="29"/>
    </row>
    <row r="298">
      <c r="A298" s="29"/>
      <c r="B298" s="29"/>
      <c r="C298" s="29"/>
      <c r="D298" s="29"/>
      <c r="E298" s="29"/>
    </row>
    <row r="299">
      <c r="A299" s="29"/>
      <c r="B299" s="29"/>
      <c r="C299" s="29"/>
      <c r="D299" s="29"/>
      <c r="E299" s="29"/>
    </row>
    <row r="300">
      <c r="A300" s="29"/>
      <c r="B300" s="29"/>
      <c r="C300" s="29"/>
      <c r="D300" s="29"/>
      <c r="E300" s="29"/>
    </row>
    <row r="301">
      <c r="A301" s="29"/>
      <c r="B301" s="29"/>
      <c r="C301" s="29"/>
      <c r="D301" s="29"/>
      <c r="E301" s="29"/>
    </row>
    <row r="302">
      <c r="A302" s="29"/>
      <c r="B302" s="29"/>
      <c r="C302" s="29"/>
      <c r="D302" s="29"/>
      <c r="E302" s="29"/>
    </row>
    <row r="303">
      <c r="A303" s="29"/>
      <c r="B303" s="29"/>
      <c r="C303" s="29"/>
      <c r="D303" s="29"/>
      <c r="E303" s="29"/>
    </row>
    <row r="304">
      <c r="A304" s="29"/>
      <c r="B304" s="29"/>
      <c r="C304" s="29"/>
      <c r="D304" s="29"/>
      <c r="E304" s="29"/>
    </row>
    <row r="305">
      <c r="A305" s="29"/>
      <c r="B305" s="29"/>
      <c r="C305" s="29"/>
      <c r="D305" s="29"/>
      <c r="E305" s="29"/>
    </row>
    <row r="306">
      <c r="A306" s="29"/>
      <c r="B306" s="29"/>
      <c r="C306" s="29"/>
      <c r="D306" s="29"/>
      <c r="E306" s="29"/>
    </row>
    <row r="307">
      <c r="A307" s="29"/>
      <c r="B307" s="29"/>
      <c r="C307" s="29"/>
      <c r="D307" s="29"/>
      <c r="E307" s="29"/>
    </row>
    <row r="308">
      <c r="A308" s="29"/>
      <c r="B308" s="29"/>
      <c r="C308" s="29"/>
      <c r="D308" s="29"/>
      <c r="E308" s="29"/>
    </row>
    <row r="309">
      <c r="A309" s="29"/>
      <c r="B309" s="29"/>
      <c r="C309" s="29"/>
      <c r="D309" s="29"/>
      <c r="E309" s="29"/>
    </row>
    <row r="310">
      <c r="A310" s="29"/>
      <c r="B310" s="29"/>
      <c r="C310" s="29"/>
      <c r="D310" s="29"/>
      <c r="E310" s="29"/>
    </row>
    <row r="311">
      <c r="A311" s="29"/>
      <c r="B311" s="29"/>
      <c r="C311" s="29"/>
      <c r="D311" s="29"/>
      <c r="E311" s="29"/>
    </row>
    <row r="312">
      <c r="A312" s="29"/>
      <c r="B312" s="29"/>
      <c r="C312" s="29"/>
      <c r="D312" s="29"/>
      <c r="E312" s="29"/>
    </row>
    <row r="313">
      <c r="A313" s="29"/>
      <c r="B313" s="29"/>
      <c r="C313" s="29"/>
      <c r="D313" s="29"/>
      <c r="E313" s="29"/>
    </row>
    <row r="314">
      <c r="A314" s="29"/>
      <c r="B314" s="29"/>
      <c r="C314" s="29"/>
      <c r="D314" s="29"/>
      <c r="E314" s="29"/>
    </row>
    <row r="315">
      <c r="A315" s="29"/>
      <c r="B315" s="29"/>
      <c r="C315" s="29"/>
      <c r="D315" s="29"/>
      <c r="E315" s="29"/>
    </row>
    <row r="316">
      <c r="A316" s="29"/>
      <c r="B316" s="29"/>
      <c r="C316" s="29"/>
      <c r="D316" s="29"/>
      <c r="E316" s="29"/>
    </row>
    <row r="317">
      <c r="A317" s="29"/>
      <c r="B317" s="29"/>
      <c r="C317" s="29"/>
      <c r="D317" s="29"/>
      <c r="E317" s="29"/>
    </row>
    <row r="318">
      <c r="A318" s="29"/>
      <c r="B318" s="29"/>
      <c r="C318" s="29"/>
      <c r="D318" s="29"/>
      <c r="E318" s="29"/>
    </row>
    <row r="319">
      <c r="A319" s="29"/>
      <c r="B319" s="29"/>
      <c r="C319" s="29"/>
      <c r="D319" s="29"/>
      <c r="E319" s="29"/>
    </row>
    <row r="320">
      <c r="A320" s="29"/>
      <c r="B320" s="29"/>
      <c r="C320" s="29"/>
      <c r="D320" s="29"/>
      <c r="E320" s="29"/>
    </row>
    <row r="321">
      <c r="A321" s="29"/>
      <c r="B321" s="29"/>
      <c r="C321" s="29"/>
      <c r="D321" s="29"/>
      <c r="E321" s="29"/>
    </row>
    <row r="322">
      <c r="A322" s="29"/>
      <c r="B322" s="29"/>
      <c r="C322" s="29"/>
      <c r="D322" s="29"/>
      <c r="E322" s="29"/>
    </row>
    <row r="323">
      <c r="A323" s="29"/>
      <c r="B323" s="29"/>
      <c r="C323" s="29"/>
      <c r="D323" s="29"/>
      <c r="E323" s="29"/>
    </row>
    <row r="324">
      <c r="A324" s="29"/>
      <c r="B324" s="29"/>
      <c r="C324" s="29"/>
      <c r="D324" s="29"/>
      <c r="E324" s="29"/>
    </row>
    <row r="325">
      <c r="A325" s="29"/>
      <c r="B325" s="29"/>
      <c r="C325" s="29"/>
      <c r="D325" s="29"/>
      <c r="E325" s="29"/>
    </row>
    <row r="326">
      <c r="A326" s="29"/>
      <c r="B326" s="29"/>
      <c r="C326" s="29"/>
      <c r="D326" s="29"/>
      <c r="E326" s="29"/>
    </row>
    <row r="327">
      <c r="A327" s="29"/>
      <c r="B327" s="29"/>
      <c r="C327" s="29"/>
      <c r="D327" s="29"/>
      <c r="E327" s="29"/>
    </row>
    <row r="328">
      <c r="A328" s="29"/>
      <c r="B328" s="29"/>
      <c r="C328" s="29"/>
      <c r="D328" s="29"/>
      <c r="E328" s="29"/>
    </row>
    <row r="329">
      <c r="A329" s="29"/>
      <c r="B329" s="29"/>
      <c r="C329" s="29"/>
      <c r="D329" s="29"/>
      <c r="E329" s="29"/>
    </row>
    <row r="330">
      <c r="A330" s="29"/>
      <c r="B330" s="29"/>
      <c r="C330" s="29"/>
      <c r="D330" s="29"/>
      <c r="E330" s="29"/>
    </row>
    <row r="331">
      <c r="A331" s="29"/>
      <c r="B331" s="29"/>
      <c r="C331" s="29"/>
      <c r="D331" s="29"/>
      <c r="E331" s="29"/>
    </row>
    <row r="332">
      <c r="A332" s="29"/>
      <c r="B332" s="29"/>
      <c r="C332" s="29"/>
      <c r="D332" s="29"/>
      <c r="E332" s="29"/>
    </row>
    <row r="333">
      <c r="A333" s="29"/>
      <c r="B333" s="29"/>
      <c r="C333" s="29"/>
      <c r="D333" s="29"/>
      <c r="E333" s="29"/>
    </row>
    <row r="334">
      <c r="A334" s="29"/>
      <c r="B334" s="29"/>
      <c r="C334" s="29"/>
      <c r="D334" s="29"/>
      <c r="E334" s="29"/>
    </row>
    <row r="335">
      <c r="A335" s="29"/>
      <c r="B335" s="29"/>
      <c r="C335" s="29"/>
      <c r="D335" s="29"/>
      <c r="E335" s="29"/>
    </row>
    <row r="336">
      <c r="A336" s="29"/>
      <c r="B336" s="29"/>
      <c r="C336" s="29"/>
      <c r="D336" s="29"/>
      <c r="E336" s="29"/>
    </row>
    <row r="337">
      <c r="A337" s="29"/>
      <c r="B337" s="29"/>
      <c r="C337" s="29"/>
      <c r="D337" s="29"/>
      <c r="E337" s="29"/>
    </row>
    <row r="338">
      <c r="A338" s="29"/>
      <c r="B338" s="29"/>
      <c r="C338" s="29"/>
      <c r="D338" s="29"/>
      <c r="E338" s="29"/>
    </row>
    <row r="339">
      <c r="A339" s="29"/>
      <c r="B339" s="29"/>
      <c r="C339" s="29"/>
      <c r="D339" s="29"/>
      <c r="E339" s="29"/>
    </row>
    <row r="340">
      <c r="A340" s="29"/>
      <c r="B340" s="29"/>
      <c r="C340" s="29"/>
      <c r="D340" s="29"/>
      <c r="E340" s="29"/>
    </row>
    <row r="341">
      <c r="A341" s="29"/>
      <c r="B341" s="29"/>
      <c r="C341" s="29"/>
      <c r="D341" s="29"/>
      <c r="E341" s="29"/>
    </row>
    <row r="342">
      <c r="A342" s="29"/>
      <c r="B342" s="29"/>
      <c r="C342" s="29"/>
      <c r="D342" s="29"/>
      <c r="E342" s="29"/>
    </row>
    <row r="343">
      <c r="A343" s="29"/>
      <c r="B343" s="29"/>
      <c r="C343" s="29"/>
      <c r="D343" s="29"/>
      <c r="E343" s="29"/>
    </row>
    <row r="344">
      <c r="A344" s="29"/>
      <c r="B344" s="29"/>
      <c r="C344" s="29"/>
      <c r="D344" s="29"/>
      <c r="E344" s="29"/>
    </row>
    <row r="345">
      <c r="A345" s="29"/>
      <c r="B345" s="29"/>
      <c r="C345" s="29"/>
      <c r="D345" s="29"/>
      <c r="E345" s="29"/>
    </row>
    <row r="346">
      <c r="A346" s="29"/>
      <c r="B346" s="29"/>
      <c r="C346" s="29"/>
      <c r="D346" s="29"/>
      <c r="E346" s="29"/>
    </row>
    <row r="347">
      <c r="A347" s="29"/>
      <c r="B347" s="29"/>
      <c r="C347" s="29"/>
      <c r="D347" s="29"/>
      <c r="E347" s="29"/>
    </row>
    <row r="348">
      <c r="A348" s="29"/>
      <c r="B348" s="29"/>
      <c r="C348" s="29"/>
      <c r="D348" s="29"/>
      <c r="E348" s="29"/>
    </row>
    <row r="349">
      <c r="A349" s="29"/>
      <c r="B349" s="29"/>
      <c r="C349" s="29"/>
      <c r="D349" s="29"/>
      <c r="E349" s="29"/>
    </row>
    <row r="350">
      <c r="A350" s="29"/>
      <c r="B350" s="29"/>
      <c r="C350" s="29"/>
      <c r="D350" s="29"/>
      <c r="E350" s="29"/>
    </row>
    <row r="351">
      <c r="A351" s="29"/>
      <c r="B351" s="29"/>
      <c r="C351" s="29"/>
      <c r="D351" s="29"/>
      <c r="E351" s="29"/>
    </row>
    <row r="352">
      <c r="A352" s="29"/>
      <c r="B352" s="29"/>
      <c r="C352" s="29"/>
      <c r="D352" s="29"/>
      <c r="E352" s="29"/>
    </row>
    <row r="353">
      <c r="A353" s="29"/>
      <c r="B353" s="29"/>
      <c r="C353" s="29"/>
      <c r="D353" s="29"/>
      <c r="E353" s="29"/>
    </row>
    <row r="354">
      <c r="A354" s="29"/>
      <c r="B354" s="29"/>
      <c r="C354" s="29"/>
      <c r="D354" s="29"/>
      <c r="E354" s="29"/>
    </row>
    <row r="355">
      <c r="A355" s="29"/>
      <c r="B355" s="29"/>
      <c r="C355" s="29"/>
      <c r="D355" s="29"/>
      <c r="E355" s="29"/>
    </row>
    <row r="356">
      <c r="A356" s="29"/>
      <c r="B356" s="29"/>
      <c r="C356" s="29"/>
      <c r="D356" s="29"/>
      <c r="E356" s="29"/>
    </row>
    <row r="357">
      <c r="A357" s="29"/>
      <c r="B357" s="29"/>
      <c r="C357" s="29"/>
      <c r="D357" s="29"/>
      <c r="E357" s="29"/>
    </row>
    <row r="358">
      <c r="A358" s="29"/>
      <c r="B358" s="29"/>
      <c r="C358" s="29"/>
      <c r="D358" s="29"/>
      <c r="E358" s="29"/>
    </row>
    <row r="359">
      <c r="A359" s="29"/>
      <c r="B359" s="29"/>
      <c r="C359" s="29"/>
      <c r="D359" s="29"/>
      <c r="E359" s="29"/>
    </row>
    <row r="360">
      <c r="A360" s="29"/>
      <c r="B360" s="29"/>
      <c r="C360" s="29"/>
      <c r="D360" s="29"/>
      <c r="E360" s="29"/>
    </row>
    <row r="361">
      <c r="A361" s="29"/>
      <c r="B361" s="29"/>
      <c r="C361" s="29"/>
      <c r="D361" s="29"/>
      <c r="E361" s="29"/>
    </row>
    <row r="362">
      <c r="A362" s="29"/>
      <c r="B362" s="29"/>
      <c r="C362" s="29"/>
      <c r="D362" s="29"/>
      <c r="E362" s="29"/>
    </row>
    <row r="363">
      <c r="A363" s="29"/>
      <c r="B363" s="29"/>
      <c r="C363" s="29"/>
      <c r="D363" s="29"/>
      <c r="E363" s="29"/>
    </row>
    <row r="364">
      <c r="A364" s="29"/>
      <c r="B364" s="29"/>
      <c r="C364" s="29"/>
      <c r="D364" s="29"/>
      <c r="E364" s="29"/>
    </row>
    <row r="365">
      <c r="A365" s="29"/>
      <c r="B365" s="29"/>
      <c r="C365" s="29"/>
      <c r="D365" s="29"/>
      <c r="E365" s="29"/>
    </row>
    <row r="366">
      <c r="A366" s="29"/>
      <c r="B366" s="29"/>
      <c r="C366" s="29"/>
      <c r="D366" s="29"/>
      <c r="E366" s="29"/>
    </row>
    <row r="367">
      <c r="A367" s="29"/>
      <c r="B367" s="29"/>
      <c r="C367" s="29"/>
      <c r="D367" s="29"/>
      <c r="E367" s="29"/>
    </row>
    <row r="368">
      <c r="A368" s="29"/>
      <c r="B368" s="29"/>
      <c r="C368" s="29"/>
      <c r="D368" s="29"/>
      <c r="E368" s="29"/>
    </row>
    <row r="369">
      <c r="A369" s="29"/>
      <c r="B369" s="29"/>
      <c r="C369" s="29"/>
      <c r="D369" s="29"/>
      <c r="E369" s="29"/>
    </row>
    <row r="370">
      <c r="A370" s="29"/>
      <c r="B370" s="29"/>
      <c r="C370" s="29"/>
      <c r="D370" s="29"/>
      <c r="E370" s="29"/>
    </row>
    <row r="371">
      <c r="A371" s="29"/>
      <c r="B371" s="29"/>
      <c r="C371" s="29"/>
      <c r="D371" s="29"/>
      <c r="E371" s="29"/>
    </row>
    <row r="372">
      <c r="A372" s="29"/>
      <c r="B372" s="29"/>
      <c r="C372" s="29"/>
      <c r="D372" s="29"/>
      <c r="E372" s="29"/>
    </row>
    <row r="373">
      <c r="A373" s="29"/>
      <c r="B373" s="29"/>
      <c r="C373" s="29"/>
      <c r="D373" s="29"/>
      <c r="E373" s="29"/>
    </row>
    <row r="374">
      <c r="A374" s="29"/>
      <c r="B374" s="29"/>
      <c r="C374" s="29"/>
      <c r="D374" s="29"/>
      <c r="E374" s="29"/>
    </row>
    <row r="375">
      <c r="A375" s="29"/>
      <c r="B375" s="29"/>
      <c r="C375" s="29"/>
      <c r="D375" s="29"/>
      <c r="E375" s="29"/>
    </row>
    <row r="376">
      <c r="A376" s="29"/>
      <c r="B376" s="29"/>
      <c r="C376" s="29"/>
      <c r="D376" s="29"/>
      <c r="E376" s="29"/>
    </row>
    <row r="377">
      <c r="A377" s="29"/>
      <c r="B377" s="29"/>
      <c r="C377" s="29"/>
      <c r="D377" s="29"/>
      <c r="E377" s="29"/>
    </row>
    <row r="378">
      <c r="A378" s="29"/>
      <c r="B378" s="29"/>
      <c r="C378" s="29"/>
      <c r="D378" s="29"/>
      <c r="E378" s="29"/>
    </row>
    <row r="379">
      <c r="A379" s="29"/>
      <c r="B379" s="29"/>
      <c r="C379" s="29"/>
      <c r="D379" s="29"/>
      <c r="E379" s="29"/>
    </row>
    <row r="380">
      <c r="A380" s="29"/>
      <c r="B380" s="29"/>
      <c r="C380" s="29"/>
      <c r="D380" s="29"/>
      <c r="E380" s="29"/>
    </row>
    <row r="381">
      <c r="A381" s="29"/>
      <c r="B381" s="29"/>
      <c r="C381" s="29"/>
      <c r="D381" s="29"/>
      <c r="E381" s="29"/>
    </row>
    <row r="382">
      <c r="A382" s="29"/>
      <c r="B382" s="29"/>
      <c r="C382" s="29"/>
      <c r="D382" s="29"/>
      <c r="E382" s="29"/>
    </row>
    <row r="383">
      <c r="A383" s="29"/>
      <c r="B383" s="29"/>
      <c r="C383" s="29"/>
      <c r="D383" s="29"/>
      <c r="E383" s="29"/>
    </row>
    <row r="384">
      <c r="A384" s="29"/>
      <c r="B384" s="29"/>
      <c r="C384" s="29"/>
      <c r="D384" s="29"/>
      <c r="E384" s="29"/>
    </row>
    <row r="385">
      <c r="A385" s="29"/>
      <c r="B385" s="29"/>
      <c r="C385" s="29"/>
      <c r="D385" s="29"/>
      <c r="E385" s="29"/>
    </row>
    <row r="386">
      <c r="A386" s="29"/>
      <c r="B386" s="29"/>
      <c r="C386" s="29"/>
      <c r="D386" s="29"/>
      <c r="E386" s="29"/>
    </row>
    <row r="387">
      <c r="A387" s="29"/>
      <c r="B387" s="29"/>
      <c r="C387" s="29"/>
      <c r="D387" s="29"/>
      <c r="E387" s="29"/>
    </row>
    <row r="388">
      <c r="A388" s="29"/>
      <c r="B388" s="29"/>
      <c r="C388" s="29"/>
      <c r="D388" s="29"/>
      <c r="E388" s="29"/>
    </row>
    <row r="389">
      <c r="A389" s="29"/>
      <c r="B389" s="29"/>
      <c r="C389" s="29"/>
      <c r="D389" s="29"/>
      <c r="E389" s="29"/>
    </row>
    <row r="390">
      <c r="A390" s="29"/>
      <c r="B390" s="29"/>
      <c r="C390" s="29"/>
      <c r="D390" s="29"/>
      <c r="E390" s="29"/>
    </row>
    <row r="391">
      <c r="A391" s="29"/>
      <c r="B391" s="29"/>
      <c r="C391" s="29"/>
      <c r="D391" s="29"/>
      <c r="E391" s="29"/>
    </row>
    <row r="392">
      <c r="A392" s="29"/>
      <c r="B392" s="29"/>
      <c r="C392" s="29"/>
      <c r="D392" s="29"/>
      <c r="E392" s="29"/>
    </row>
    <row r="393">
      <c r="A393" s="29"/>
      <c r="B393" s="29"/>
      <c r="C393" s="29"/>
      <c r="D393" s="29"/>
      <c r="E393" s="29"/>
    </row>
    <row r="394">
      <c r="A394" s="29"/>
      <c r="B394" s="29"/>
      <c r="C394" s="29"/>
      <c r="D394" s="29"/>
      <c r="E394" s="29"/>
    </row>
    <row r="395">
      <c r="A395" s="29"/>
      <c r="B395" s="29"/>
      <c r="C395" s="29"/>
      <c r="D395" s="29"/>
      <c r="E395" s="29"/>
    </row>
    <row r="396">
      <c r="A396" s="29"/>
      <c r="B396" s="29"/>
      <c r="C396" s="29"/>
      <c r="D396" s="29"/>
      <c r="E396" s="29"/>
    </row>
    <row r="397">
      <c r="A397" s="29"/>
      <c r="B397" s="29"/>
      <c r="C397" s="29"/>
      <c r="D397" s="29"/>
      <c r="E397" s="29"/>
    </row>
    <row r="398">
      <c r="A398" s="29"/>
      <c r="B398" s="29"/>
      <c r="C398" s="29"/>
      <c r="D398" s="29"/>
      <c r="E398" s="29"/>
    </row>
    <row r="399">
      <c r="A399" s="29"/>
      <c r="B399" s="29"/>
      <c r="C399" s="29"/>
      <c r="D399" s="29"/>
      <c r="E399" s="29"/>
    </row>
    <row r="400">
      <c r="A400" s="29"/>
      <c r="B400" s="29"/>
      <c r="C400" s="29"/>
      <c r="D400" s="29"/>
      <c r="E400" s="29"/>
    </row>
    <row r="401">
      <c r="A401" s="29"/>
      <c r="B401" s="29"/>
      <c r="C401" s="29"/>
      <c r="D401" s="29"/>
      <c r="E401" s="29"/>
    </row>
    <row r="402">
      <c r="A402" s="29"/>
      <c r="B402" s="29"/>
      <c r="C402" s="29"/>
      <c r="D402" s="29"/>
      <c r="E402" s="29"/>
    </row>
    <row r="403">
      <c r="A403" s="29"/>
      <c r="B403" s="29"/>
      <c r="C403" s="29"/>
      <c r="D403" s="29"/>
      <c r="E403" s="29"/>
    </row>
    <row r="404">
      <c r="A404" s="29"/>
      <c r="B404" s="29"/>
      <c r="C404" s="29"/>
      <c r="D404" s="29"/>
      <c r="E404" s="29"/>
    </row>
    <row r="405">
      <c r="A405" s="29"/>
      <c r="B405" s="29"/>
      <c r="C405" s="29"/>
      <c r="D405" s="29"/>
      <c r="E405" s="29"/>
    </row>
    <row r="406">
      <c r="A406" s="29"/>
      <c r="B406" s="29"/>
      <c r="C406" s="29"/>
      <c r="D406" s="29"/>
      <c r="E406" s="29"/>
    </row>
    <row r="407">
      <c r="A407" s="29"/>
      <c r="B407" s="29"/>
      <c r="C407" s="29"/>
      <c r="D407" s="29"/>
      <c r="E407" s="29"/>
    </row>
    <row r="408">
      <c r="A408" s="29"/>
      <c r="B408" s="29"/>
      <c r="C408" s="29"/>
      <c r="D408" s="29"/>
      <c r="E408" s="29"/>
    </row>
    <row r="409">
      <c r="A409" s="29"/>
      <c r="B409" s="29"/>
      <c r="C409" s="29"/>
      <c r="D409" s="29"/>
      <c r="E409" s="29"/>
    </row>
    <row r="410">
      <c r="A410" s="29"/>
      <c r="B410" s="29"/>
      <c r="C410" s="29"/>
      <c r="D410" s="29"/>
      <c r="E410" s="29"/>
    </row>
    <row r="411">
      <c r="A411" s="29"/>
      <c r="B411" s="29"/>
      <c r="C411" s="29"/>
      <c r="D411" s="29"/>
      <c r="E411" s="29"/>
    </row>
    <row r="412">
      <c r="A412" s="29"/>
      <c r="B412" s="29"/>
      <c r="C412" s="29"/>
      <c r="D412" s="29"/>
      <c r="E412" s="29"/>
    </row>
    <row r="413">
      <c r="A413" s="29"/>
      <c r="B413" s="29"/>
      <c r="C413" s="29"/>
      <c r="D413" s="29"/>
      <c r="E413" s="29"/>
    </row>
    <row r="414">
      <c r="A414" s="29"/>
      <c r="B414" s="29"/>
      <c r="C414" s="29"/>
      <c r="D414" s="29"/>
      <c r="E414" s="29"/>
    </row>
    <row r="415">
      <c r="A415" s="29"/>
      <c r="B415" s="29"/>
      <c r="C415" s="29"/>
      <c r="D415" s="29"/>
      <c r="E415" s="29"/>
    </row>
    <row r="416">
      <c r="A416" s="29"/>
      <c r="B416" s="29"/>
      <c r="C416" s="29"/>
      <c r="D416" s="29"/>
      <c r="E416" s="29"/>
    </row>
    <row r="417">
      <c r="A417" s="29"/>
      <c r="B417" s="29"/>
      <c r="C417" s="29"/>
      <c r="D417" s="29"/>
      <c r="E417" s="29"/>
    </row>
    <row r="418">
      <c r="A418" s="29"/>
      <c r="B418" s="29"/>
      <c r="C418" s="29"/>
      <c r="D418" s="29"/>
      <c r="E418" s="29"/>
    </row>
    <row r="419">
      <c r="A419" s="29"/>
      <c r="B419" s="29"/>
      <c r="C419" s="29"/>
      <c r="D419" s="29"/>
      <c r="E419" s="29"/>
    </row>
    <row r="420">
      <c r="A420" s="29"/>
      <c r="B420" s="29"/>
      <c r="C420" s="29"/>
      <c r="D420" s="29"/>
      <c r="E420" s="29"/>
    </row>
    <row r="421">
      <c r="A421" s="29"/>
      <c r="B421" s="29"/>
      <c r="C421" s="29"/>
      <c r="D421" s="29"/>
      <c r="E421" s="29"/>
    </row>
    <row r="422">
      <c r="A422" s="29"/>
      <c r="B422" s="29"/>
      <c r="C422" s="29"/>
      <c r="D422" s="29"/>
      <c r="E422" s="29"/>
    </row>
    <row r="423">
      <c r="A423" s="29"/>
      <c r="B423" s="29"/>
      <c r="C423" s="29"/>
      <c r="D423" s="29"/>
      <c r="E423" s="29"/>
    </row>
    <row r="424">
      <c r="A424" s="29"/>
      <c r="B424" s="29"/>
      <c r="C424" s="29"/>
      <c r="D424" s="29"/>
      <c r="E424" s="29"/>
    </row>
    <row r="425">
      <c r="A425" s="29"/>
      <c r="B425" s="29"/>
      <c r="C425" s="29"/>
      <c r="D425" s="29"/>
      <c r="E425" s="29"/>
    </row>
    <row r="426">
      <c r="A426" s="29"/>
      <c r="B426" s="29"/>
      <c r="C426" s="29"/>
      <c r="D426" s="29"/>
      <c r="E426" s="29"/>
    </row>
    <row r="427">
      <c r="A427" s="29"/>
      <c r="B427" s="29"/>
      <c r="C427" s="29"/>
      <c r="D427" s="29"/>
      <c r="E427" s="29"/>
    </row>
    <row r="428">
      <c r="A428" s="29"/>
      <c r="B428" s="29"/>
      <c r="C428" s="29"/>
      <c r="D428" s="29"/>
      <c r="E428" s="29"/>
    </row>
    <row r="429">
      <c r="A429" s="29"/>
      <c r="B429" s="29"/>
      <c r="C429" s="29"/>
      <c r="D429" s="29"/>
      <c r="E429" s="29"/>
    </row>
    <row r="430">
      <c r="A430" s="29"/>
      <c r="B430" s="29"/>
      <c r="C430" s="29"/>
      <c r="D430" s="29"/>
      <c r="E430" s="29"/>
    </row>
    <row r="431">
      <c r="A431" s="29"/>
      <c r="B431" s="29"/>
      <c r="C431" s="29"/>
      <c r="D431" s="29"/>
      <c r="E431" s="29"/>
    </row>
    <row r="432">
      <c r="A432" s="29"/>
      <c r="B432" s="29"/>
      <c r="C432" s="29"/>
      <c r="D432" s="29"/>
      <c r="E432" s="29"/>
    </row>
    <row r="433">
      <c r="A433" s="29"/>
      <c r="B433" s="29"/>
      <c r="C433" s="29"/>
      <c r="D433" s="29"/>
      <c r="E433" s="29"/>
    </row>
    <row r="434">
      <c r="A434" s="29"/>
      <c r="B434" s="29"/>
      <c r="C434" s="29"/>
      <c r="D434" s="29"/>
      <c r="E434" s="29"/>
    </row>
    <row r="435">
      <c r="A435" s="29"/>
      <c r="B435" s="29"/>
      <c r="C435" s="29"/>
      <c r="D435" s="29"/>
      <c r="E435" s="29"/>
    </row>
    <row r="436">
      <c r="A436" s="29"/>
      <c r="B436" s="29"/>
      <c r="C436" s="29"/>
      <c r="D436" s="29"/>
      <c r="E436" s="29"/>
    </row>
    <row r="437">
      <c r="A437" s="29"/>
      <c r="B437" s="29"/>
      <c r="C437" s="29"/>
      <c r="D437" s="29"/>
      <c r="E437" s="29"/>
    </row>
    <row r="438">
      <c r="A438" s="29"/>
      <c r="B438" s="29"/>
      <c r="C438" s="29"/>
      <c r="D438" s="29"/>
      <c r="E438" s="29"/>
    </row>
    <row r="439">
      <c r="A439" s="29"/>
      <c r="B439" s="29"/>
      <c r="C439" s="29"/>
      <c r="D439" s="29"/>
      <c r="E439" s="29"/>
    </row>
    <row r="440">
      <c r="A440" s="29"/>
      <c r="B440" s="29"/>
      <c r="C440" s="29"/>
      <c r="D440" s="29"/>
      <c r="E440" s="29"/>
    </row>
    <row r="441">
      <c r="A441" s="29"/>
      <c r="B441" s="29"/>
      <c r="C441" s="29"/>
      <c r="D441" s="29"/>
      <c r="E441" s="29"/>
    </row>
    <row r="442">
      <c r="A442" s="29"/>
      <c r="B442" s="29"/>
      <c r="C442" s="29"/>
      <c r="D442" s="29"/>
      <c r="E442" s="29"/>
    </row>
    <row r="443">
      <c r="A443" s="29"/>
      <c r="B443" s="29"/>
      <c r="C443" s="29"/>
      <c r="D443" s="29"/>
      <c r="E443" s="29"/>
    </row>
    <row r="444">
      <c r="A444" s="29"/>
      <c r="B444" s="29"/>
      <c r="C444" s="29"/>
      <c r="D444" s="29"/>
      <c r="E444" s="29"/>
    </row>
    <row r="445">
      <c r="A445" s="29"/>
      <c r="B445" s="29"/>
      <c r="C445" s="29"/>
      <c r="D445" s="29"/>
      <c r="E445" s="29"/>
    </row>
    <row r="446">
      <c r="A446" s="29"/>
      <c r="B446" s="29"/>
      <c r="C446" s="29"/>
      <c r="D446" s="29"/>
      <c r="E446" s="29"/>
    </row>
    <row r="447">
      <c r="A447" s="29"/>
      <c r="B447" s="29"/>
      <c r="C447" s="29"/>
      <c r="D447" s="29"/>
      <c r="E447" s="29"/>
    </row>
    <row r="448">
      <c r="A448" s="29"/>
      <c r="B448" s="29"/>
      <c r="C448" s="29"/>
      <c r="D448" s="29"/>
      <c r="E448" s="29"/>
    </row>
    <row r="449">
      <c r="A449" s="29"/>
      <c r="B449" s="29"/>
      <c r="C449" s="29"/>
      <c r="D449" s="29"/>
      <c r="E449" s="29"/>
    </row>
    <row r="450">
      <c r="A450" s="29"/>
      <c r="B450" s="29"/>
      <c r="C450" s="29"/>
      <c r="D450" s="29"/>
      <c r="E450" s="29"/>
    </row>
    <row r="451">
      <c r="A451" s="29"/>
      <c r="B451" s="29"/>
      <c r="C451" s="29"/>
      <c r="D451" s="29"/>
      <c r="E451" s="29"/>
    </row>
    <row r="452">
      <c r="A452" s="29"/>
      <c r="B452" s="29"/>
      <c r="C452" s="29"/>
      <c r="D452" s="29"/>
      <c r="E452" s="29"/>
    </row>
    <row r="453">
      <c r="A453" s="29"/>
      <c r="B453" s="29"/>
      <c r="C453" s="29"/>
      <c r="D453" s="29"/>
      <c r="E453" s="29"/>
    </row>
    <row r="454">
      <c r="A454" s="29"/>
      <c r="B454" s="29"/>
      <c r="C454" s="29"/>
      <c r="D454" s="29"/>
      <c r="E454" s="29"/>
    </row>
    <row r="455">
      <c r="A455" s="29"/>
      <c r="B455" s="29"/>
      <c r="C455" s="29"/>
      <c r="D455" s="29"/>
      <c r="E455" s="29"/>
    </row>
    <row r="456">
      <c r="A456" s="29"/>
      <c r="B456" s="29"/>
      <c r="C456" s="29"/>
      <c r="D456" s="29"/>
      <c r="E456" s="29"/>
    </row>
    <row r="457">
      <c r="A457" s="29"/>
      <c r="B457" s="29"/>
      <c r="C457" s="29"/>
      <c r="D457" s="29"/>
      <c r="E457" s="29"/>
    </row>
    <row r="458">
      <c r="A458" s="29"/>
      <c r="B458" s="29"/>
      <c r="C458" s="29"/>
      <c r="D458" s="29"/>
      <c r="E458" s="29"/>
    </row>
    <row r="459">
      <c r="A459" s="29"/>
      <c r="B459" s="29"/>
      <c r="C459" s="29"/>
      <c r="D459" s="29"/>
      <c r="E459" s="29"/>
    </row>
    <row r="460">
      <c r="A460" s="29"/>
      <c r="B460" s="29"/>
      <c r="C460" s="29"/>
      <c r="D460" s="29"/>
      <c r="E460" s="29"/>
    </row>
    <row r="461">
      <c r="A461" s="29"/>
      <c r="B461" s="29"/>
      <c r="C461" s="29"/>
      <c r="D461" s="29"/>
      <c r="E461" s="29"/>
    </row>
    <row r="462">
      <c r="A462" s="29"/>
      <c r="B462" s="29"/>
      <c r="C462" s="29"/>
      <c r="D462" s="29"/>
      <c r="E462" s="29"/>
    </row>
    <row r="463">
      <c r="A463" s="29"/>
      <c r="B463" s="29"/>
      <c r="C463" s="29"/>
      <c r="D463" s="29"/>
      <c r="E463" s="29"/>
    </row>
    <row r="464">
      <c r="A464" s="29"/>
      <c r="B464" s="29"/>
      <c r="C464" s="29"/>
      <c r="D464" s="29"/>
      <c r="E464" s="29"/>
    </row>
    <row r="465">
      <c r="A465" s="29"/>
      <c r="B465" s="29"/>
      <c r="C465" s="29"/>
      <c r="D465" s="29"/>
      <c r="E465" s="29"/>
    </row>
    <row r="466">
      <c r="A466" s="29"/>
      <c r="B466" s="29"/>
      <c r="C466" s="29"/>
      <c r="D466" s="29"/>
      <c r="E466" s="29"/>
    </row>
    <row r="467">
      <c r="A467" s="29"/>
      <c r="B467" s="29"/>
      <c r="C467" s="29"/>
      <c r="D467" s="29"/>
      <c r="E467" s="29"/>
    </row>
    <row r="468">
      <c r="A468" s="29"/>
      <c r="B468" s="29"/>
      <c r="C468" s="29"/>
      <c r="D468" s="29"/>
      <c r="E468" s="29"/>
    </row>
    <row r="469">
      <c r="A469" s="29"/>
      <c r="B469" s="29"/>
      <c r="C469" s="29"/>
      <c r="D469" s="29"/>
      <c r="E469" s="29"/>
    </row>
    <row r="470">
      <c r="A470" s="29"/>
      <c r="B470" s="29"/>
      <c r="C470" s="29"/>
      <c r="D470" s="29"/>
      <c r="E470" s="29"/>
    </row>
    <row r="471">
      <c r="A471" s="29"/>
      <c r="B471" s="29"/>
      <c r="C471" s="29"/>
      <c r="D471" s="29"/>
      <c r="E471" s="29"/>
    </row>
    <row r="472">
      <c r="A472" s="29"/>
      <c r="B472" s="29"/>
      <c r="C472" s="29"/>
      <c r="D472" s="29"/>
      <c r="E472" s="29"/>
    </row>
    <row r="473">
      <c r="A473" s="29"/>
      <c r="B473" s="29"/>
      <c r="C473" s="29"/>
      <c r="D473" s="29"/>
      <c r="E473" s="29"/>
    </row>
    <row r="474">
      <c r="A474" s="29"/>
      <c r="B474" s="29"/>
      <c r="C474" s="29"/>
      <c r="D474" s="29"/>
      <c r="E474" s="29"/>
    </row>
    <row r="475">
      <c r="A475" s="29"/>
      <c r="B475" s="29"/>
      <c r="C475" s="29"/>
      <c r="D475" s="29"/>
      <c r="E475" s="29"/>
    </row>
    <row r="476">
      <c r="A476" s="29"/>
      <c r="B476" s="29"/>
      <c r="C476" s="29"/>
      <c r="D476" s="29"/>
      <c r="E476" s="29"/>
    </row>
    <row r="477">
      <c r="A477" s="29"/>
      <c r="B477" s="29"/>
      <c r="C477" s="29"/>
      <c r="D477" s="29"/>
      <c r="E477" s="29"/>
    </row>
    <row r="478">
      <c r="A478" s="29"/>
      <c r="B478" s="29"/>
      <c r="C478" s="29"/>
      <c r="D478" s="29"/>
      <c r="E478" s="29"/>
    </row>
    <row r="479">
      <c r="A479" s="29"/>
      <c r="B479" s="29"/>
      <c r="C479" s="29"/>
      <c r="D479" s="29"/>
      <c r="E479" s="29"/>
    </row>
    <row r="480">
      <c r="A480" s="29"/>
      <c r="B480" s="29"/>
      <c r="C480" s="29"/>
      <c r="D480" s="29"/>
      <c r="E480" s="29"/>
    </row>
    <row r="481">
      <c r="A481" s="29"/>
      <c r="B481" s="29"/>
      <c r="C481" s="29"/>
      <c r="D481" s="29"/>
      <c r="E481" s="29"/>
    </row>
    <row r="482">
      <c r="A482" s="29"/>
      <c r="B482" s="29"/>
      <c r="C482" s="29"/>
      <c r="D482" s="29"/>
      <c r="E482" s="29"/>
    </row>
    <row r="483">
      <c r="A483" s="29"/>
      <c r="B483" s="29"/>
      <c r="C483" s="29"/>
      <c r="D483" s="29"/>
      <c r="E483" s="29"/>
    </row>
    <row r="484">
      <c r="A484" s="29"/>
      <c r="B484" s="29"/>
      <c r="C484" s="29"/>
      <c r="D484" s="29"/>
      <c r="E484" s="29"/>
    </row>
    <row r="485">
      <c r="A485" s="29"/>
      <c r="B485" s="29"/>
      <c r="C485" s="29"/>
      <c r="D485" s="29"/>
      <c r="E485" s="29"/>
    </row>
    <row r="486">
      <c r="A486" s="29"/>
      <c r="B486" s="29"/>
      <c r="C486" s="29"/>
      <c r="D486" s="29"/>
      <c r="E486" s="29"/>
    </row>
    <row r="487">
      <c r="A487" s="29"/>
      <c r="B487" s="29"/>
      <c r="C487" s="29"/>
      <c r="D487" s="29"/>
      <c r="E487" s="29"/>
    </row>
    <row r="488">
      <c r="A488" s="29"/>
      <c r="B488" s="29"/>
      <c r="C488" s="29"/>
      <c r="D488" s="29"/>
      <c r="E488" s="29"/>
    </row>
    <row r="489">
      <c r="A489" s="29"/>
      <c r="B489" s="29"/>
      <c r="C489" s="29"/>
      <c r="D489" s="29"/>
      <c r="E489" s="29"/>
    </row>
    <row r="490">
      <c r="A490" s="29"/>
      <c r="B490" s="29"/>
      <c r="C490" s="29"/>
      <c r="D490" s="29"/>
      <c r="E490" s="29"/>
    </row>
    <row r="491">
      <c r="A491" s="29"/>
      <c r="B491" s="29"/>
      <c r="C491" s="29"/>
      <c r="D491" s="29"/>
      <c r="E491" s="29"/>
    </row>
    <row r="492">
      <c r="A492" s="29"/>
      <c r="B492" s="29"/>
      <c r="C492" s="29"/>
      <c r="D492" s="29"/>
      <c r="E492" s="29"/>
    </row>
    <row r="493">
      <c r="A493" s="29"/>
      <c r="B493" s="29"/>
      <c r="C493" s="29"/>
      <c r="D493" s="29"/>
      <c r="E493" s="29"/>
    </row>
    <row r="494">
      <c r="A494" s="29"/>
      <c r="B494" s="29"/>
      <c r="C494" s="29"/>
      <c r="D494" s="29"/>
      <c r="E494" s="29"/>
    </row>
    <row r="495">
      <c r="A495" s="29"/>
      <c r="B495" s="29"/>
      <c r="C495" s="29"/>
      <c r="D495" s="29"/>
      <c r="E495" s="29"/>
    </row>
    <row r="496">
      <c r="A496" s="29"/>
      <c r="B496" s="29"/>
      <c r="C496" s="29"/>
      <c r="D496" s="29"/>
      <c r="E496" s="29"/>
    </row>
    <row r="497">
      <c r="A497" s="29"/>
      <c r="B497" s="29"/>
      <c r="C497" s="29"/>
      <c r="D497" s="29"/>
      <c r="E497" s="29"/>
    </row>
    <row r="498">
      <c r="A498" s="29"/>
      <c r="B498" s="29"/>
      <c r="C498" s="29"/>
      <c r="D498" s="29"/>
      <c r="E498" s="29"/>
    </row>
    <row r="499">
      <c r="A499" s="29"/>
      <c r="B499" s="29"/>
      <c r="C499" s="29"/>
      <c r="D499" s="29"/>
      <c r="E499" s="29"/>
    </row>
    <row r="500">
      <c r="A500" s="29"/>
      <c r="B500" s="29"/>
      <c r="C500" s="29"/>
      <c r="D500" s="29"/>
      <c r="E500" s="29"/>
    </row>
    <row r="501">
      <c r="A501" s="29"/>
      <c r="B501" s="29"/>
      <c r="C501" s="29"/>
      <c r="D501" s="29"/>
      <c r="E501" s="29"/>
    </row>
    <row r="502">
      <c r="A502" s="29"/>
      <c r="B502" s="29"/>
      <c r="C502" s="29"/>
      <c r="D502" s="29"/>
      <c r="E502" s="29"/>
    </row>
    <row r="503">
      <c r="A503" s="29"/>
      <c r="B503" s="29"/>
      <c r="C503" s="29"/>
      <c r="D503" s="29"/>
      <c r="E503" s="29"/>
    </row>
    <row r="504">
      <c r="A504" s="29"/>
      <c r="B504" s="29"/>
      <c r="C504" s="29"/>
      <c r="D504" s="29"/>
      <c r="E504" s="29"/>
    </row>
    <row r="505">
      <c r="A505" s="29"/>
      <c r="B505" s="29"/>
      <c r="C505" s="29"/>
      <c r="D505" s="29"/>
      <c r="E505" s="29"/>
    </row>
    <row r="506">
      <c r="A506" s="29"/>
      <c r="B506" s="29"/>
      <c r="C506" s="29"/>
      <c r="D506" s="29"/>
      <c r="E506" s="29"/>
    </row>
    <row r="507">
      <c r="A507" s="29"/>
      <c r="B507" s="29"/>
      <c r="C507" s="29"/>
      <c r="D507" s="29"/>
      <c r="E507" s="29"/>
    </row>
    <row r="508">
      <c r="A508" s="29"/>
      <c r="B508" s="29"/>
      <c r="C508" s="29"/>
      <c r="D508" s="29"/>
      <c r="E508" s="29"/>
    </row>
    <row r="509">
      <c r="A509" s="29"/>
      <c r="B509" s="29"/>
      <c r="C509" s="29"/>
      <c r="D509" s="29"/>
      <c r="E509" s="29"/>
    </row>
    <row r="510">
      <c r="A510" s="29"/>
      <c r="B510" s="29"/>
      <c r="C510" s="29"/>
      <c r="D510" s="29"/>
      <c r="E510" s="29"/>
    </row>
    <row r="511">
      <c r="A511" s="29"/>
      <c r="B511" s="29"/>
      <c r="C511" s="29"/>
      <c r="D511" s="29"/>
      <c r="E511" s="29"/>
    </row>
    <row r="512">
      <c r="A512" s="29"/>
      <c r="B512" s="29"/>
      <c r="C512" s="29"/>
      <c r="D512" s="29"/>
      <c r="E512" s="29"/>
    </row>
    <row r="513">
      <c r="A513" s="29"/>
      <c r="B513" s="29"/>
      <c r="C513" s="29"/>
      <c r="D513" s="29"/>
      <c r="E513" s="29"/>
    </row>
    <row r="514">
      <c r="A514" s="29"/>
      <c r="B514" s="29"/>
      <c r="C514" s="29"/>
      <c r="D514" s="29"/>
      <c r="E514" s="29"/>
    </row>
    <row r="515">
      <c r="A515" s="29"/>
      <c r="B515" s="29"/>
      <c r="C515" s="29"/>
      <c r="D515" s="29"/>
      <c r="E515" s="29"/>
    </row>
    <row r="516">
      <c r="A516" s="29"/>
      <c r="B516" s="29"/>
      <c r="C516" s="29"/>
      <c r="D516" s="29"/>
      <c r="E516" s="29"/>
    </row>
    <row r="517">
      <c r="A517" s="29"/>
      <c r="B517" s="29"/>
      <c r="C517" s="29"/>
      <c r="D517" s="29"/>
      <c r="E517" s="29"/>
    </row>
    <row r="518">
      <c r="A518" s="29"/>
      <c r="B518" s="29"/>
      <c r="C518" s="29"/>
      <c r="D518" s="29"/>
      <c r="E518" s="29"/>
    </row>
    <row r="519">
      <c r="A519" s="29"/>
      <c r="B519" s="29"/>
      <c r="C519" s="29"/>
      <c r="D519" s="29"/>
      <c r="E519" s="29"/>
    </row>
    <row r="520">
      <c r="A520" s="29"/>
      <c r="B520" s="29"/>
      <c r="C520" s="29"/>
      <c r="D520" s="29"/>
      <c r="E520" s="29"/>
    </row>
    <row r="521">
      <c r="A521" s="29"/>
      <c r="B521" s="29"/>
      <c r="C521" s="29"/>
      <c r="D521" s="29"/>
      <c r="E521" s="29"/>
    </row>
    <row r="522">
      <c r="A522" s="29"/>
      <c r="B522" s="29"/>
      <c r="C522" s="29"/>
      <c r="D522" s="29"/>
      <c r="E522" s="29"/>
    </row>
    <row r="523">
      <c r="A523" s="29"/>
      <c r="B523" s="29"/>
      <c r="C523" s="29"/>
      <c r="D523" s="29"/>
      <c r="E523" s="29"/>
    </row>
    <row r="524">
      <c r="A524" s="29"/>
      <c r="B524" s="29"/>
      <c r="C524" s="29"/>
      <c r="D524" s="29"/>
      <c r="E524" s="29"/>
    </row>
    <row r="525">
      <c r="A525" s="29"/>
      <c r="B525" s="29"/>
      <c r="C525" s="29"/>
      <c r="D525" s="29"/>
      <c r="E525" s="29"/>
    </row>
    <row r="526">
      <c r="A526" s="29"/>
      <c r="B526" s="29"/>
      <c r="C526" s="29"/>
      <c r="D526" s="29"/>
      <c r="E526" s="29"/>
    </row>
    <row r="527">
      <c r="A527" s="29"/>
      <c r="B527" s="29"/>
      <c r="C527" s="29"/>
      <c r="D527" s="29"/>
      <c r="E527" s="29"/>
    </row>
    <row r="528">
      <c r="A528" s="29"/>
      <c r="B528" s="29"/>
      <c r="C528" s="29"/>
      <c r="D528" s="29"/>
      <c r="E528" s="29"/>
    </row>
    <row r="529">
      <c r="A529" s="29"/>
      <c r="B529" s="29"/>
      <c r="C529" s="29"/>
      <c r="D529" s="29"/>
      <c r="E529" s="29"/>
    </row>
    <row r="530">
      <c r="A530" s="29"/>
      <c r="B530" s="29"/>
      <c r="C530" s="29"/>
      <c r="D530" s="29"/>
      <c r="E530" s="29"/>
    </row>
    <row r="531">
      <c r="A531" s="29"/>
      <c r="B531" s="29"/>
      <c r="C531" s="29"/>
      <c r="D531" s="29"/>
      <c r="E531" s="29"/>
    </row>
    <row r="532">
      <c r="A532" s="29"/>
      <c r="B532" s="29"/>
      <c r="C532" s="29"/>
      <c r="D532" s="29"/>
      <c r="E532" s="29"/>
    </row>
    <row r="533">
      <c r="A533" s="29"/>
      <c r="B533" s="29"/>
      <c r="C533" s="29"/>
      <c r="D533" s="29"/>
      <c r="E533" s="29"/>
    </row>
    <row r="534">
      <c r="A534" s="29"/>
      <c r="B534" s="29"/>
      <c r="C534" s="29"/>
      <c r="D534" s="29"/>
      <c r="E534" s="29"/>
    </row>
    <row r="535">
      <c r="A535" s="29"/>
      <c r="B535" s="29"/>
      <c r="C535" s="29"/>
      <c r="D535" s="29"/>
      <c r="E535" s="29"/>
    </row>
    <row r="536">
      <c r="A536" s="29"/>
      <c r="B536" s="29"/>
      <c r="C536" s="29"/>
      <c r="D536" s="29"/>
      <c r="E536" s="29"/>
    </row>
    <row r="537">
      <c r="A537" s="29"/>
      <c r="B537" s="29"/>
      <c r="C537" s="29"/>
      <c r="D537" s="29"/>
      <c r="E537" s="29"/>
    </row>
    <row r="538">
      <c r="A538" s="29"/>
      <c r="B538" s="29"/>
      <c r="C538" s="29"/>
      <c r="D538" s="29"/>
      <c r="E538" s="29"/>
    </row>
    <row r="539">
      <c r="A539" s="29"/>
      <c r="B539" s="29"/>
      <c r="C539" s="29"/>
      <c r="D539" s="29"/>
      <c r="E539" s="29"/>
    </row>
    <row r="540">
      <c r="A540" s="29"/>
      <c r="B540" s="29"/>
      <c r="C540" s="29"/>
      <c r="D540" s="29"/>
      <c r="E540" s="29"/>
    </row>
    <row r="541">
      <c r="A541" s="29"/>
      <c r="B541" s="29"/>
      <c r="C541" s="29"/>
      <c r="D541" s="29"/>
      <c r="E541" s="29"/>
    </row>
    <row r="542">
      <c r="A542" s="29"/>
      <c r="B542" s="29"/>
      <c r="C542" s="29"/>
      <c r="D542" s="29"/>
      <c r="E542" s="29"/>
    </row>
    <row r="543">
      <c r="A543" s="29"/>
      <c r="B543" s="29"/>
      <c r="C543" s="29"/>
      <c r="D543" s="29"/>
      <c r="E543" s="29"/>
    </row>
    <row r="544">
      <c r="A544" s="29"/>
      <c r="B544" s="29"/>
      <c r="C544" s="29"/>
      <c r="D544" s="29"/>
      <c r="E544" s="29"/>
    </row>
    <row r="545">
      <c r="A545" s="29"/>
      <c r="B545" s="29"/>
      <c r="C545" s="29"/>
      <c r="D545" s="29"/>
      <c r="E545" s="29"/>
    </row>
    <row r="546">
      <c r="A546" s="29"/>
      <c r="B546" s="29"/>
      <c r="C546" s="29"/>
      <c r="D546" s="29"/>
      <c r="E546" s="29"/>
    </row>
    <row r="547">
      <c r="A547" s="29"/>
      <c r="B547" s="29"/>
      <c r="C547" s="29"/>
      <c r="D547" s="29"/>
      <c r="E547" s="29"/>
    </row>
    <row r="548">
      <c r="A548" s="29"/>
      <c r="B548" s="29"/>
      <c r="C548" s="29"/>
      <c r="D548" s="29"/>
      <c r="E548" s="29"/>
    </row>
    <row r="549">
      <c r="A549" s="29"/>
      <c r="B549" s="29"/>
      <c r="C549" s="29"/>
      <c r="D549" s="29"/>
      <c r="E549" s="29"/>
    </row>
    <row r="550">
      <c r="A550" s="29"/>
      <c r="B550" s="29"/>
      <c r="C550" s="29"/>
      <c r="D550" s="29"/>
      <c r="E550" s="29"/>
    </row>
    <row r="551">
      <c r="A551" s="29"/>
      <c r="B551" s="29"/>
      <c r="C551" s="29"/>
      <c r="D551" s="29"/>
      <c r="E551" s="29"/>
    </row>
    <row r="552">
      <c r="A552" s="29"/>
      <c r="B552" s="29"/>
      <c r="C552" s="29"/>
      <c r="D552" s="29"/>
      <c r="E552" s="29"/>
    </row>
    <row r="553">
      <c r="A553" s="29"/>
      <c r="B553" s="29"/>
      <c r="C553" s="29"/>
      <c r="D553" s="29"/>
      <c r="E553" s="29"/>
    </row>
    <row r="554">
      <c r="A554" s="29"/>
      <c r="B554" s="29"/>
      <c r="C554" s="29"/>
      <c r="D554" s="29"/>
      <c r="E554" s="29"/>
    </row>
    <row r="555">
      <c r="A555" s="29"/>
      <c r="B555" s="29"/>
      <c r="C555" s="29"/>
      <c r="D555" s="29"/>
      <c r="E555" s="29"/>
    </row>
    <row r="556">
      <c r="A556" s="29"/>
      <c r="B556" s="29"/>
      <c r="C556" s="29"/>
      <c r="D556" s="29"/>
      <c r="E556" s="29"/>
    </row>
    <row r="557">
      <c r="A557" s="29"/>
      <c r="B557" s="29"/>
      <c r="C557" s="29"/>
      <c r="D557" s="29"/>
      <c r="E557" s="29"/>
    </row>
    <row r="558">
      <c r="A558" s="29"/>
      <c r="B558" s="29"/>
      <c r="C558" s="29"/>
      <c r="D558" s="29"/>
      <c r="E558" s="29"/>
    </row>
    <row r="559">
      <c r="A559" s="29"/>
      <c r="B559" s="29"/>
      <c r="C559" s="29"/>
      <c r="D559" s="29"/>
      <c r="E559" s="29"/>
    </row>
    <row r="560">
      <c r="A560" s="29"/>
      <c r="B560" s="29"/>
      <c r="C560" s="29"/>
      <c r="D560" s="29"/>
      <c r="E560" s="29"/>
    </row>
    <row r="561">
      <c r="A561" s="29"/>
      <c r="B561" s="29"/>
      <c r="C561" s="29"/>
      <c r="D561" s="29"/>
      <c r="E561" s="29"/>
    </row>
    <row r="562">
      <c r="A562" s="29"/>
      <c r="B562" s="29"/>
      <c r="C562" s="29"/>
      <c r="D562" s="29"/>
      <c r="E562" s="29"/>
    </row>
    <row r="563">
      <c r="A563" s="29"/>
      <c r="B563" s="29"/>
      <c r="C563" s="29"/>
      <c r="D563" s="29"/>
      <c r="E563" s="29"/>
    </row>
    <row r="564">
      <c r="A564" s="29"/>
      <c r="B564" s="29"/>
      <c r="C564" s="29"/>
      <c r="D564" s="29"/>
      <c r="E564" s="29"/>
    </row>
    <row r="565">
      <c r="A565" s="29"/>
      <c r="B565" s="29"/>
      <c r="C565" s="29"/>
      <c r="D565" s="29"/>
      <c r="E565" s="29"/>
    </row>
    <row r="566">
      <c r="A566" s="29"/>
      <c r="B566" s="29"/>
      <c r="C566" s="29"/>
      <c r="D566" s="29"/>
      <c r="E566" s="29"/>
    </row>
    <row r="567">
      <c r="A567" s="29"/>
      <c r="B567" s="29"/>
      <c r="C567" s="29"/>
      <c r="D567" s="29"/>
      <c r="E567" s="29"/>
    </row>
    <row r="568">
      <c r="A568" s="29"/>
      <c r="B568" s="29"/>
      <c r="C568" s="29"/>
      <c r="D568" s="29"/>
      <c r="E568" s="29"/>
    </row>
    <row r="569">
      <c r="A569" s="29"/>
      <c r="B569" s="29"/>
      <c r="C569" s="29"/>
      <c r="D569" s="29"/>
      <c r="E569" s="29"/>
    </row>
    <row r="570">
      <c r="A570" s="29"/>
      <c r="B570" s="29"/>
      <c r="C570" s="29"/>
      <c r="D570" s="29"/>
      <c r="E570" s="29"/>
    </row>
    <row r="571">
      <c r="A571" s="29"/>
      <c r="B571" s="29"/>
      <c r="C571" s="29"/>
      <c r="D571" s="29"/>
      <c r="E571" s="29"/>
    </row>
    <row r="572">
      <c r="A572" s="29"/>
      <c r="B572" s="29"/>
      <c r="C572" s="29"/>
      <c r="D572" s="29"/>
      <c r="E572" s="29"/>
    </row>
    <row r="573">
      <c r="A573" s="29"/>
      <c r="B573" s="29"/>
      <c r="C573" s="29"/>
      <c r="D573" s="29"/>
      <c r="E573" s="29"/>
    </row>
    <row r="574">
      <c r="A574" s="29"/>
      <c r="B574" s="29"/>
      <c r="C574" s="29"/>
      <c r="D574" s="29"/>
      <c r="E574" s="29"/>
    </row>
    <row r="575">
      <c r="A575" s="29"/>
      <c r="B575" s="29"/>
      <c r="C575" s="29"/>
      <c r="D575" s="29"/>
      <c r="E575" s="29"/>
    </row>
    <row r="576">
      <c r="A576" s="29"/>
      <c r="B576" s="29"/>
      <c r="C576" s="29"/>
      <c r="D576" s="29"/>
      <c r="E576" s="29"/>
    </row>
    <row r="577">
      <c r="A577" s="29"/>
      <c r="B577" s="29"/>
      <c r="C577" s="29"/>
      <c r="D577" s="29"/>
      <c r="E577" s="29"/>
    </row>
    <row r="578">
      <c r="A578" s="29"/>
      <c r="B578" s="29"/>
      <c r="C578" s="29"/>
      <c r="D578" s="29"/>
      <c r="E578" s="29"/>
    </row>
    <row r="579">
      <c r="A579" s="29"/>
      <c r="B579" s="29"/>
      <c r="C579" s="29"/>
      <c r="D579" s="29"/>
      <c r="E579" s="29"/>
    </row>
    <row r="580">
      <c r="A580" s="29"/>
      <c r="B580" s="29"/>
      <c r="C580" s="29"/>
      <c r="D580" s="29"/>
      <c r="E580" s="29"/>
    </row>
    <row r="581">
      <c r="A581" s="29"/>
      <c r="B581" s="29"/>
      <c r="C581" s="29"/>
      <c r="D581" s="29"/>
      <c r="E581" s="29"/>
    </row>
    <row r="582">
      <c r="A582" s="29"/>
      <c r="B582" s="29"/>
      <c r="C582" s="29"/>
      <c r="D582" s="29"/>
      <c r="E582" s="29"/>
    </row>
    <row r="583">
      <c r="A583" s="29"/>
      <c r="B583" s="29"/>
      <c r="C583" s="29"/>
      <c r="D583" s="29"/>
      <c r="E583" s="29"/>
    </row>
    <row r="584">
      <c r="A584" s="29"/>
      <c r="B584" s="29"/>
      <c r="C584" s="29"/>
      <c r="D584" s="29"/>
      <c r="E584" s="29"/>
    </row>
    <row r="585">
      <c r="A585" s="29"/>
      <c r="B585" s="29"/>
      <c r="C585" s="29"/>
      <c r="D585" s="29"/>
      <c r="E585" s="29"/>
    </row>
    <row r="586">
      <c r="A586" s="29"/>
      <c r="B586" s="29"/>
      <c r="C586" s="29"/>
      <c r="D586" s="29"/>
      <c r="E586" s="29"/>
    </row>
    <row r="587">
      <c r="A587" s="29"/>
      <c r="B587" s="29"/>
      <c r="C587" s="29"/>
      <c r="D587" s="29"/>
      <c r="E587" s="29"/>
    </row>
    <row r="588">
      <c r="A588" s="29"/>
      <c r="B588" s="29"/>
      <c r="C588" s="29"/>
      <c r="D588" s="29"/>
      <c r="E588" s="29"/>
    </row>
    <row r="589">
      <c r="A589" s="29"/>
      <c r="B589" s="29"/>
      <c r="C589" s="29"/>
      <c r="D589" s="29"/>
      <c r="E589" s="29"/>
    </row>
    <row r="590">
      <c r="A590" s="29"/>
      <c r="B590" s="29"/>
      <c r="C590" s="29"/>
      <c r="D590" s="29"/>
      <c r="E590" s="29"/>
    </row>
    <row r="591">
      <c r="A591" s="29"/>
      <c r="B591" s="29"/>
      <c r="C591" s="29"/>
      <c r="D591" s="29"/>
      <c r="E591" s="29"/>
    </row>
    <row r="592">
      <c r="A592" s="29"/>
      <c r="B592" s="29"/>
      <c r="C592" s="29"/>
      <c r="D592" s="29"/>
      <c r="E592" s="29"/>
    </row>
    <row r="593">
      <c r="A593" s="29"/>
      <c r="B593" s="29"/>
      <c r="C593" s="29"/>
      <c r="D593" s="29"/>
      <c r="E593" s="29"/>
    </row>
    <row r="594">
      <c r="A594" s="29"/>
      <c r="B594" s="29"/>
      <c r="C594" s="29"/>
      <c r="D594" s="29"/>
      <c r="E594" s="29"/>
    </row>
    <row r="595">
      <c r="A595" s="29"/>
      <c r="B595" s="29"/>
      <c r="C595" s="29"/>
      <c r="D595" s="29"/>
      <c r="E595" s="29"/>
    </row>
    <row r="596">
      <c r="A596" s="29"/>
      <c r="B596" s="29"/>
      <c r="C596" s="29"/>
      <c r="D596" s="29"/>
      <c r="E596" s="29"/>
    </row>
    <row r="597">
      <c r="A597" s="29"/>
      <c r="B597" s="29"/>
      <c r="C597" s="29"/>
      <c r="D597" s="29"/>
      <c r="E597" s="29"/>
    </row>
    <row r="598">
      <c r="A598" s="29"/>
      <c r="B598" s="29"/>
      <c r="C598" s="29"/>
      <c r="D598" s="29"/>
      <c r="E598" s="29"/>
    </row>
    <row r="599">
      <c r="A599" s="29"/>
      <c r="B599" s="29"/>
      <c r="C599" s="29"/>
      <c r="D599" s="29"/>
      <c r="E599" s="29"/>
    </row>
    <row r="600">
      <c r="A600" s="29"/>
      <c r="B600" s="29"/>
      <c r="C600" s="29"/>
      <c r="D600" s="29"/>
      <c r="E600" s="29"/>
    </row>
    <row r="601">
      <c r="A601" s="29"/>
      <c r="B601" s="29"/>
      <c r="C601" s="29"/>
      <c r="D601" s="29"/>
      <c r="E601" s="29"/>
    </row>
    <row r="602">
      <c r="A602" s="29"/>
      <c r="B602" s="29"/>
      <c r="C602" s="29"/>
      <c r="D602" s="29"/>
      <c r="E602" s="29"/>
    </row>
    <row r="603">
      <c r="A603" s="29"/>
      <c r="B603" s="29"/>
      <c r="C603" s="29"/>
      <c r="D603" s="29"/>
      <c r="E603" s="29"/>
    </row>
    <row r="604">
      <c r="A604" s="29"/>
      <c r="B604" s="29"/>
      <c r="C604" s="29"/>
      <c r="D604" s="29"/>
      <c r="E604" s="29"/>
    </row>
    <row r="605">
      <c r="A605" s="29"/>
      <c r="B605" s="29"/>
      <c r="C605" s="29"/>
      <c r="D605" s="29"/>
      <c r="E605" s="29"/>
    </row>
    <row r="606">
      <c r="A606" s="29"/>
      <c r="B606" s="29"/>
      <c r="C606" s="29"/>
      <c r="D606" s="29"/>
      <c r="E606" s="29"/>
    </row>
    <row r="607">
      <c r="A607" s="29"/>
      <c r="B607" s="29"/>
      <c r="C607" s="29"/>
      <c r="D607" s="29"/>
      <c r="E607" s="29"/>
    </row>
    <row r="608">
      <c r="A608" s="29"/>
      <c r="B608" s="29"/>
      <c r="C608" s="29"/>
      <c r="D608" s="29"/>
      <c r="E608" s="29"/>
    </row>
    <row r="609">
      <c r="A609" s="29"/>
      <c r="B609" s="29"/>
      <c r="C609" s="29"/>
      <c r="D609" s="29"/>
      <c r="E609" s="29"/>
    </row>
    <row r="610">
      <c r="A610" s="29"/>
      <c r="B610" s="29"/>
      <c r="C610" s="29"/>
      <c r="D610" s="29"/>
      <c r="E610" s="29"/>
    </row>
    <row r="611">
      <c r="A611" s="29"/>
      <c r="B611" s="29"/>
      <c r="C611" s="29"/>
      <c r="D611" s="29"/>
      <c r="E611" s="29"/>
    </row>
    <row r="612">
      <c r="A612" s="29"/>
      <c r="B612" s="29"/>
      <c r="C612" s="29"/>
      <c r="D612" s="29"/>
      <c r="E612" s="29"/>
    </row>
    <row r="613">
      <c r="A613" s="29"/>
      <c r="B613" s="29"/>
      <c r="C613" s="29"/>
      <c r="D613" s="29"/>
      <c r="E613" s="29"/>
    </row>
    <row r="614">
      <c r="A614" s="29"/>
      <c r="B614" s="29"/>
      <c r="C614" s="29"/>
      <c r="D614" s="29"/>
      <c r="E614" s="29"/>
    </row>
    <row r="615">
      <c r="A615" s="29"/>
      <c r="B615" s="29"/>
      <c r="C615" s="29"/>
      <c r="D615" s="29"/>
      <c r="E615" s="29"/>
    </row>
    <row r="616">
      <c r="A616" s="29"/>
      <c r="B616" s="29"/>
      <c r="C616" s="29"/>
      <c r="D616" s="29"/>
      <c r="E616" s="29"/>
    </row>
    <row r="617">
      <c r="A617" s="29"/>
      <c r="B617" s="29"/>
      <c r="C617" s="29"/>
      <c r="D617" s="29"/>
      <c r="E617" s="29"/>
    </row>
    <row r="618">
      <c r="A618" s="29"/>
      <c r="B618" s="29"/>
      <c r="C618" s="29"/>
      <c r="D618" s="29"/>
      <c r="E618" s="29"/>
    </row>
    <row r="619">
      <c r="A619" s="29"/>
      <c r="B619" s="29"/>
      <c r="C619" s="29"/>
      <c r="D619" s="29"/>
      <c r="E619" s="29"/>
    </row>
    <row r="620">
      <c r="A620" s="29"/>
      <c r="B620" s="29"/>
      <c r="C620" s="29"/>
      <c r="D620" s="29"/>
      <c r="E620" s="29"/>
    </row>
    <row r="621">
      <c r="A621" s="29"/>
      <c r="B621" s="29"/>
      <c r="C621" s="29"/>
      <c r="D621" s="29"/>
      <c r="E621" s="29"/>
    </row>
    <row r="622">
      <c r="A622" s="29"/>
      <c r="B622" s="29"/>
      <c r="C622" s="29"/>
      <c r="D622" s="29"/>
      <c r="E622" s="29"/>
    </row>
    <row r="623">
      <c r="A623" s="29"/>
      <c r="B623" s="29"/>
      <c r="C623" s="29"/>
      <c r="D623" s="29"/>
      <c r="E623" s="29"/>
    </row>
    <row r="624">
      <c r="A624" s="29"/>
      <c r="B624" s="29"/>
      <c r="C624" s="29"/>
      <c r="D624" s="29"/>
      <c r="E624" s="29"/>
    </row>
    <row r="625">
      <c r="A625" s="29"/>
      <c r="B625" s="29"/>
      <c r="C625" s="29"/>
      <c r="D625" s="29"/>
      <c r="E625" s="29"/>
    </row>
    <row r="626">
      <c r="A626" s="29"/>
      <c r="B626" s="29"/>
      <c r="C626" s="29"/>
      <c r="D626" s="29"/>
      <c r="E626" s="29"/>
    </row>
    <row r="627">
      <c r="A627" s="29"/>
      <c r="B627" s="29"/>
      <c r="C627" s="29"/>
      <c r="D627" s="29"/>
      <c r="E627" s="29"/>
    </row>
    <row r="628">
      <c r="A628" s="29"/>
      <c r="B628" s="29"/>
      <c r="C628" s="29"/>
      <c r="D628" s="29"/>
      <c r="E628" s="29"/>
    </row>
    <row r="629">
      <c r="A629" s="29"/>
      <c r="B629" s="29"/>
      <c r="C629" s="29"/>
      <c r="D629" s="29"/>
      <c r="E629" s="29"/>
    </row>
    <row r="630">
      <c r="A630" s="29"/>
      <c r="B630" s="29"/>
      <c r="C630" s="29"/>
      <c r="D630" s="29"/>
      <c r="E630" s="29"/>
    </row>
    <row r="631">
      <c r="A631" s="29"/>
      <c r="B631" s="29"/>
      <c r="C631" s="29"/>
      <c r="D631" s="29"/>
      <c r="E631" s="29"/>
    </row>
    <row r="632">
      <c r="A632" s="29"/>
      <c r="B632" s="29"/>
      <c r="C632" s="29"/>
      <c r="D632" s="29"/>
      <c r="E632" s="29"/>
    </row>
    <row r="633">
      <c r="A633" s="29"/>
      <c r="B633" s="29"/>
      <c r="C633" s="29"/>
      <c r="D633" s="29"/>
      <c r="E633" s="29"/>
    </row>
    <row r="634">
      <c r="A634" s="29"/>
      <c r="B634" s="29"/>
      <c r="C634" s="29"/>
      <c r="D634" s="29"/>
      <c r="E634" s="29"/>
    </row>
    <row r="635">
      <c r="A635" s="29"/>
      <c r="B635" s="29"/>
      <c r="C635" s="29"/>
      <c r="D635" s="29"/>
      <c r="E635" s="29"/>
    </row>
    <row r="636">
      <c r="A636" s="29"/>
      <c r="B636" s="29"/>
      <c r="C636" s="29"/>
      <c r="D636" s="29"/>
      <c r="E636" s="29"/>
    </row>
    <row r="637">
      <c r="A637" s="29"/>
      <c r="B637" s="29"/>
      <c r="C637" s="29"/>
      <c r="D637" s="29"/>
      <c r="E637" s="29"/>
    </row>
    <row r="638">
      <c r="A638" s="29"/>
      <c r="B638" s="29"/>
      <c r="C638" s="29"/>
      <c r="D638" s="29"/>
      <c r="E638" s="29"/>
    </row>
    <row r="639">
      <c r="A639" s="29"/>
      <c r="B639" s="29"/>
      <c r="C639" s="29"/>
      <c r="D639" s="29"/>
      <c r="E639" s="29"/>
    </row>
    <row r="640">
      <c r="A640" s="29"/>
      <c r="B640" s="29"/>
      <c r="C640" s="29"/>
      <c r="D640" s="29"/>
      <c r="E640" s="29"/>
    </row>
    <row r="641">
      <c r="A641" s="29"/>
      <c r="B641" s="29"/>
      <c r="C641" s="29"/>
      <c r="D641" s="29"/>
      <c r="E641" s="29"/>
    </row>
    <row r="642">
      <c r="A642" s="29"/>
      <c r="B642" s="29"/>
      <c r="C642" s="29"/>
      <c r="D642" s="29"/>
      <c r="E642" s="29"/>
    </row>
    <row r="643">
      <c r="A643" s="29"/>
      <c r="B643" s="29"/>
      <c r="C643" s="29"/>
      <c r="D643" s="29"/>
      <c r="E643" s="29"/>
    </row>
    <row r="644">
      <c r="A644" s="29"/>
      <c r="B644" s="29"/>
      <c r="C644" s="29"/>
      <c r="D644" s="29"/>
      <c r="E644" s="29"/>
    </row>
    <row r="645">
      <c r="A645" s="29"/>
      <c r="B645" s="29"/>
      <c r="C645" s="29"/>
      <c r="D645" s="29"/>
      <c r="E645" s="29"/>
    </row>
    <row r="646">
      <c r="A646" s="29"/>
      <c r="B646" s="29"/>
      <c r="C646" s="29"/>
      <c r="D646" s="29"/>
      <c r="E646" s="29"/>
    </row>
    <row r="647">
      <c r="A647" s="29"/>
      <c r="B647" s="29"/>
      <c r="C647" s="29"/>
      <c r="D647" s="29"/>
      <c r="E647" s="29"/>
    </row>
    <row r="648">
      <c r="A648" s="29"/>
      <c r="B648" s="29"/>
      <c r="C648" s="29"/>
      <c r="D648" s="29"/>
      <c r="E648" s="29"/>
    </row>
    <row r="649">
      <c r="A649" s="29"/>
      <c r="B649" s="29"/>
      <c r="C649" s="29"/>
      <c r="D649" s="29"/>
      <c r="E649" s="29"/>
    </row>
    <row r="650">
      <c r="A650" s="29"/>
      <c r="B650" s="29"/>
      <c r="C650" s="29"/>
      <c r="D650" s="29"/>
      <c r="E650" s="29"/>
    </row>
    <row r="651">
      <c r="A651" s="29"/>
      <c r="B651" s="29"/>
      <c r="C651" s="29"/>
      <c r="D651" s="29"/>
      <c r="E651" s="29"/>
    </row>
    <row r="652">
      <c r="A652" s="29"/>
      <c r="B652" s="29"/>
      <c r="C652" s="29"/>
      <c r="D652" s="29"/>
      <c r="E652" s="29"/>
    </row>
    <row r="653">
      <c r="A653" s="29"/>
      <c r="B653" s="29"/>
      <c r="C653" s="29"/>
      <c r="D653" s="29"/>
      <c r="E653" s="29"/>
    </row>
    <row r="654">
      <c r="A654" s="29"/>
      <c r="B654" s="29"/>
      <c r="C654" s="29"/>
      <c r="D654" s="29"/>
      <c r="E654" s="29"/>
    </row>
    <row r="655">
      <c r="A655" s="29"/>
      <c r="B655" s="29"/>
      <c r="C655" s="29"/>
      <c r="D655" s="29"/>
      <c r="E655" s="29"/>
    </row>
    <row r="656">
      <c r="A656" s="29"/>
      <c r="B656" s="29"/>
      <c r="C656" s="29"/>
      <c r="D656" s="29"/>
      <c r="E656" s="29"/>
    </row>
    <row r="657">
      <c r="A657" s="29"/>
      <c r="B657" s="29"/>
      <c r="C657" s="29"/>
      <c r="D657" s="29"/>
      <c r="E657" s="29"/>
    </row>
    <row r="658">
      <c r="A658" s="29"/>
      <c r="B658" s="29"/>
      <c r="C658" s="29"/>
      <c r="D658" s="29"/>
      <c r="E658" s="29"/>
    </row>
    <row r="659">
      <c r="A659" s="29"/>
      <c r="B659" s="29"/>
      <c r="C659" s="29"/>
      <c r="D659" s="29"/>
      <c r="E659" s="29"/>
    </row>
    <row r="660">
      <c r="A660" s="29"/>
      <c r="B660" s="29"/>
      <c r="C660" s="29"/>
      <c r="D660" s="29"/>
      <c r="E660" s="29"/>
    </row>
    <row r="661">
      <c r="A661" s="29"/>
      <c r="B661" s="29"/>
      <c r="C661" s="29"/>
      <c r="D661" s="29"/>
      <c r="E661" s="29"/>
    </row>
    <row r="662">
      <c r="A662" s="29"/>
      <c r="B662" s="29"/>
      <c r="C662" s="29"/>
      <c r="D662" s="29"/>
      <c r="E662" s="29"/>
    </row>
    <row r="663">
      <c r="A663" s="29"/>
      <c r="B663" s="29"/>
      <c r="C663" s="29"/>
      <c r="D663" s="29"/>
      <c r="E663" s="29"/>
    </row>
    <row r="664">
      <c r="A664" s="29"/>
      <c r="B664" s="29"/>
      <c r="C664" s="29"/>
      <c r="D664" s="29"/>
      <c r="E664" s="29"/>
    </row>
    <row r="665">
      <c r="A665" s="29"/>
      <c r="B665" s="29"/>
      <c r="C665" s="29"/>
      <c r="D665" s="29"/>
      <c r="E665" s="29"/>
    </row>
    <row r="666">
      <c r="A666" s="29"/>
      <c r="B666" s="29"/>
      <c r="C666" s="29"/>
      <c r="D666" s="29"/>
      <c r="E666" s="29"/>
    </row>
    <row r="667">
      <c r="A667" s="29"/>
      <c r="B667" s="29"/>
      <c r="C667" s="29"/>
      <c r="D667" s="29"/>
      <c r="E667" s="29"/>
    </row>
    <row r="668">
      <c r="A668" s="29"/>
      <c r="B668" s="29"/>
      <c r="C668" s="29"/>
      <c r="D668" s="29"/>
      <c r="E668" s="29"/>
    </row>
    <row r="669">
      <c r="A669" s="29"/>
      <c r="B669" s="29"/>
      <c r="C669" s="29"/>
      <c r="D669" s="29"/>
      <c r="E669" s="29"/>
    </row>
    <row r="670">
      <c r="A670" s="29"/>
      <c r="B670" s="29"/>
      <c r="C670" s="29"/>
      <c r="D670" s="29"/>
      <c r="E670" s="29"/>
    </row>
    <row r="671">
      <c r="A671" s="29"/>
      <c r="B671" s="29"/>
      <c r="C671" s="29"/>
      <c r="D671" s="29"/>
      <c r="E671" s="29"/>
    </row>
    <row r="672">
      <c r="A672" s="29"/>
      <c r="B672" s="29"/>
      <c r="C672" s="29"/>
      <c r="D672" s="29"/>
      <c r="E672" s="29"/>
    </row>
    <row r="673">
      <c r="A673" s="29"/>
      <c r="B673" s="29"/>
      <c r="C673" s="29"/>
      <c r="D673" s="29"/>
      <c r="E673" s="29"/>
    </row>
    <row r="674">
      <c r="A674" s="29"/>
      <c r="B674" s="29"/>
      <c r="C674" s="29"/>
      <c r="D674" s="29"/>
      <c r="E674" s="29"/>
    </row>
    <row r="675">
      <c r="A675" s="29"/>
      <c r="B675" s="29"/>
      <c r="C675" s="29"/>
      <c r="D675" s="29"/>
      <c r="E675" s="29"/>
    </row>
    <row r="676">
      <c r="A676" s="29"/>
      <c r="B676" s="29"/>
      <c r="C676" s="29"/>
      <c r="D676" s="29"/>
      <c r="E676" s="29"/>
    </row>
    <row r="677">
      <c r="A677" s="29"/>
      <c r="B677" s="29"/>
      <c r="C677" s="29"/>
      <c r="D677" s="29"/>
      <c r="E677" s="29"/>
    </row>
    <row r="678">
      <c r="A678" s="29"/>
      <c r="B678" s="29"/>
      <c r="C678" s="29"/>
      <c r="D678" s="29"/>
      <c r="E678" s="29"/>
    </row>
    <row r="679">
      <c r="A679" s="29"/>
      <c r="B679" s="29"/>
      <c r="C679" s="29"/>
      <c r="D679" s="29"/>
      <c r="E679" s="29"/>
    </row>
    <row r="680">
      <c r="A680" s="29"/>
      <c r="B680" s="29"/>
      <c r="C680" s="29"/>
      <c r="D680" s="29"/>
      <c r="E680" s="29"/>
    </row>
    <row r="681">
      <c r="A681" s="29"/>
      <c r="B681" s="29"/>
      <c r="C681" s="29"/>
      <c r="D681" s="29"/>
      <c r="E681" s="29"/>
    </row>
    <row r="682">
      <c r="A682" s="29"/>
      <c r="B682" s="29"/>
      <c r="C682" s="29"/>
      <c r="D682" s="29"/>
      <c r="E682" s="29"/>
    </row>
    <row r="683">
      <c r="A683" s="29"/>
      <c r="B683" s="29"/>
      <c r="C683" s="29"/>
      <c r="D683" s="29"/>
      <c r="E683" s="29"/>
    </row>
    <row r="684">
      <c r="A684" s="29"/>
      <c r="B684" s="29"/>
      <c r="C684" s="29"/>
      <c r="D684" s="29"/>
      <c r="E684" s="29"/>
    </row>
    <row r="685">
      <c r="A685" s="29"/>
      <c r="B685" s="29"/>
      <c r="C685" s="29"/>
      <c r="D685" s="29"/>
      <c r="E685" s="29"/>
    </row>
    <row r="686">
      <c r="A686" s="29"/>
      <c r="B686" s="29"/>
      <c r="C686" s="29"/>
      <c r="D686" s="29"/>
      <c r="E686" s="29"/>
    </row>
    <row r="687">
      <c r="A687" s="29"/>
      <c r="B687" s="29"/>
      <c r="C687" s="29"/>
      <c r="D687" s="29"/>
      <c r="E687" s="29"/>
    </row>
    <row r="688">
      <c r="A688" s="29"/>
      <c r="B688" s="29"/>
      <c r="C688" s="29"/>
      <c r="D688" s="29"/>
      <c r="E688" s="29"/>
    </row>
    <row r="689">
      <c r="A689" s="29"/>
      <c r="B689" s="29"/>
      <c r="C689" s="29"/>
      <c r="D689" s="29"/>
      <c r="E689" s="29"/>
    </row>
    <row r="690">
      <c r="A690" s="29"/>
      <c r="B690" s="29"/>
      <c r="C690" s="29"/>
      <c r="D690" s="29"/>
      <c r="E690" s="29"/>
    </row>
    <row r="691">
      <c r="A691" s="29"/>
      <c r="B691" s="29"/>
      <c r="C691" s="29"/>
      <c r="D691" s="29"/>
      <c r="E691" s="29"/>
    </row>
    <row r="692">
      <c r="A692" s="29"/>
      <c r="B692" s="29"/>
      <c r="C692" s="29"/>
      <c r="D692" s="29"/>
      <c r="E692" s="29"/>
    </row>
    <row r="693">
      <c r="A693" s="29"/>
      <c r="B693" s="29"/>
      <c r="C693" s="29"/>
      <c r="D693" s="29"/>
      <c r="E693" s="29"/>
    </row>
    <row r="694">
      <c r="A694" s="29"/>
      <c r="B694" s="29"/>
      <c r="C694" s="29"/>
      <c r="D694" s="29"/>
      <c r="E694" s="29"/>
    </row>
    <row r="695">
      <c r="A695" s="29"/>
      <c r="B695" s="29"/>
      <c r="C695" s="29"/>
      <c r="D695" s="29"/>
      <c r="E695" s="29"/>
    </row>
    <row r="696">
      <c r="A696" s="29"/>
      <c r="B696" s="29"/>
      <c r="C696" s="29"/>
      <c r="D696" s="29"/>
      <c r="E696" s="29"/>
    </row>
    <row r="697">
      <c r="A697" s="29"/>
      <c r="B697" s="29"/>
      <c r="C697" s="29"/>
      <c r="D697" s="29"/>
      <c r="E697" s="29"/>
    </row>
    <row r="698">
      <c r="A698" s="29"/>
      <c r="B698" s="29"/>
      <c r="C698" s="29"/>
      <c r="D698" s="29"/>
      <c r="E698" s="29"/>
    </row>
    <row r="699">
      <c r="A699" s="29"/>
      <c r="B699" s="29"/>
      <c r="C699" s="29"/>
      <c r="D699" s="29"/>
      <c r="E699" s="29"/>
    </row>
    <row r="700">
      <c r="A700" s="29"/>
      <c r="B700" s="29"/>
      <c r="C700" s="29"/>
      <c r="D700" s="29"/>
      <c r="E700" s="29"/>
    </row>
    <row r="701">
      <c r="A701" s="29"/>
      <c r="B701" s="29"/>
      <c r="C701" s="29"/>
      <c r="D701" s="29"/>
      <c r="E701" s="29"/>
    </row>
    <row r="702">
      <c r="A702" s="29"/>
      <c r="B702" s="29"/>
      <c r="C702" s="29"/>
      <c r="D702" s="29"/>
      <c r="E702" s="29"/>
    </row>
    <row r="703">
      <c r="A703" s="29"/>
      <c r="B703" s="29"/>
      <c r="C703" s="29"/>
      <c r="D703" s="29"/>
      <c r="E703" s="29"/>
    </row>
    <row r="704">
      <c r="A704" s="29"/>
      <c r="B704" s="29"/>
      <c r="C704" s="29"/>
      <c r="D704" s="29"/>
      <c r="E704" s="29"/>
    </row>
    <row r="705">
      <c r="A705" s="29"/>
      <c r="B705" s="29"/>
      <c r="C705" s="29"/>
      <c r="D705" s="29"/>
      <c r="E705" s="29"/>
    </row>
    <row r="706">
      <c r="A706" s="29"/>
      <c r="B706" s="29"/>
      <c r="C706" s="29"/>
      <c r="D706" s="29"/>
      <c r="E706" s="29"/>
    </row>
    <row r="707">
      <c r="A707" s="29"/>
      <c r="B707" s="29"/>
      <c r="C707" s="29"/>
      <c r="D707" s="29"/>
      <c r="E707" s="29"/>
    </row>
    <row r="708">
      <c r="A708" s="29"/>
      <c r="B708" s="29"/>
      <c r="C708" s="29"/>
      <c r="D708" s="29"/>
      <c r="E708" s="29"/>
    </row>
    <row r="709">
      <c r="A709" s="29"/>
      <c r="B709" s="29"/>
      <c r="C709" s="29"/>
      <c r="D709" s="29"/>
      <c r="E709" s="29"/>
    </row>
    <row r="710">
      <c r="A710" s="29"/>
      <c r="B710" s="29"/>
      <c r="C710" s="29"/>
      <c r="D710" s="29"/>
      <c r="E710" s="29"/>
    </row>
    <row r="711">
      <c r="A711" s="29"/>
      <c r="B711" s="29"/>
      <c r="C711" s="29"/>
      <c r="D711" s="29"/>
      <c r="E711" s="29"/>
    </row>
    <row r="712">
      <c r="A712" s="29"/>
      <c r="B712" s="29"/>
      <c r="C712" s="29"/>
      <c r="D712" s="29"/>
      <c r="E712" s="29"/>
    </row>
    <row r="713">
      <c r="A713" s="29"/>
      <c r="B713" s="29"/>
      <c r="C713" s="29"/>
      <c r="D713" s="29"/>
      <c r="E713" s="29"/>
    </row>
    <row r="714">
      <c r="A714" s="29"/>
      <c r="B714" s="29"/>
      <c r="C714" s="29"/>
      <c r="D714" s="29"/>
      <c r="E714" s="29"/>
    </row>
    <row r="715">
      <c r="A715" s="29"/>
      <c r="B715" s="29"/>
      <c r="C715" s="29"/>
      <c r="D715" s="29"/>
      <c r="E715" s="29"/>
    </row>
    <row r="716">
      <c r="A716" s="29"/>
      <c r="B716" s="29"/>
      <c r="C716" s="29"/>
      <c r="D716" s="29"/>
      <c r="E716" s="29"/>
    </row>
    <row r="717">
      <c r="A717" s="29"/>
      <c r="B717" s="29"/>
      <c r="C717" s="29"/>
      <c r="D717" s="29"/>
      <c r="E717" s="29"/>
    </row>
    <row r="718">
      <c r="A718" s="29"/>
      <c r="B718" s="29"/>
      <c r="C718" s="29"/>
      <c r="D718" s="29"/>
      <c r="E718" s="29"/>
    </row>
    <row r="719">
      <c r="A719" s="29"/>
      <c r="B719" s="29"/>
      <c r="C719" s="29"/>
      <c r="D719" s="29"/>
      <c r="E719" s="29"/>
    </row>
    <row r="720">
      <c r="A720" s="29"/>
      <c r="B720" s="29"/>
      <c r="C720" s="29"/>
      <c r="D720" s="29"/>
      <c r="E720" s="29"/>
    </row>
    <row r="721">
      <c r="A721" s="29"/>
      <c r="B721" s="29"/>
      <c r="C721" s="29"/>
      <c r="D721" s="29"/>
      <c r="E721" s="29"/>
    </row>
    <row r="722">
      <c r="A722" s="29"/>
      <c r="B722" s="29"/>
      <c r="C722" s="29"/>
      <c r="D722" s="29"/>
      <c r="E722" s="29"/>
    </row>
    <row r="723">
      <c r="A723" s="29"/>
      <c r="B723" s="29"/>
      <c r="C723" s="29"/>
      <c r="D723" s="29"/>
      <c r="E723" s="29"/>
    </row>
    <row r="724">
      <c r="A724" s="29"/>
      <c r="B724" s="29"/>
      <c r="C724" s="29"/>
      <c r="D724" s="29"/>
      <c r="E724" s="29"/>
    </row>
    <row r="725">
      <c r="A725" s="29"/>
      <c r="B725" s="29"/>
      <c r="C725" s="29"/>
      <c r="D725" s="29"/>
      <c r="E725" s="29"/>
    </row>
    <row r="726">
      <c r="A726" s="29"/>
      <c r="B726" s="29"/>
      <c r="C726" s="29"/>
      <c r="D726" s="29"/>
      <c r="E726" s="29"/>
    </row>
    <row r="727">
      <c r="A727" s="29"/>
      <c r="B727" s="29"/>
      <c r="C727" s="29"/>
      <c r="D727" s="29"/>
      <c r="E727" s="29"/>
    </row>
    <row r="728">
      <c r="A728" s="29"/>
      <c r="B728" s="29"/>
      <c r="C728" s="29"/>
      <c r="D728" s="29"/>
      <c r="E728" s="29"/>
    </row>
    <row r="729">
      <c r="A729" s="29"/>
      <c r="B729" s="29"/>
      <c r="C729" s="29"/>
      <c r="D729" s="29"/>
      <c r="E729" s="29"/>
    </row>
    <row r="730">
      <c r="A730" s="29"/>
      <c r="B730" s="29"/>
      <c r="C730" s="29"/>
      <c r="D730" s="29"/>
      <c r="E730" s="29"/>
    </row>
    <row r="731">
      <c r="A731" s="29"/>
      <c r="B731" s="29"/>
      <c r="C731" s="29"/>
      <c r="D731" s="29"/>
      <c r="E731" s="29"/>
    </row>
    <row r="732">
      <c r="A732" s="29"/>
      <c r="B732" s="29"/>
      <c r="C732" s="29"/>
      <c r="D732" s="29"/>
      <c r="E732" s="29"/>
    </row>
    <row r="733">
      <c r="A733" s="29"/>
      <c r="B733" s="29"/>
      <c r="C733" s="29"/>
      <c r="D733" s="29"/>
      <c r="E733" s="29"/>
    </row>
    <row r="734">
      <c r="A734" s="29"/>
      <c r="B734" s="29"/>
      <c r="C734" s="29"/>
      <c r="D734" s="29"/>
      <c r="E734" s="29"/>
    </row>
    <row r="735">
      <c r="A735" s="29"/>
      <c r="B735" s="29"/>
      <c r="C735" s="29"/>
      <c r="D735" s="29"/>
      <c r="E735" s="29"/>
    </row>
    <row r="736">
      <c r="A736" s="29"/>
      <c r="B736" s="29"/>
      <c r="C736" s="29"/>
      <c r="D736" s="29"/>
      <c r="E736" s="29"/>
    </row>
    <row r="737">
      <c r="A737" s="29"/>
      <c r="B737" s="29"/>
      <c r="C737" s="29"/>
      <c r="D737" s="29"/>
      <c r="E737" s="29"/>
    </row>
    <row r="738">
      <c r="A738" s="29"/>
      <c r="B738" s="29"/>
      <c r="C738" s="29"/>
      <c r="D738" s="29"/>
      <c r="E738" s="29"/>
    </row>
    <row r="739">
      <c r="A739" s="29"/>
      <c r="B739" s="29"/>
      <c r="C739" s="29"/>
      <c r="D739" s="29"/>
      <c r="E739" s="29"/>
    </row>
    <row r="740">
      <c r="A740" s="29"/>
      <c r="B740" s="29"/>
      <c r="C740" s="29"/>
      <c r="D740" s="29"/>
      <c r="E740" s="29"/>
    </row>
    <row r="741">
      <c r="A741" s="29"/>
      <c r="B741" s="29"/>
      <c r="C741" s="29"/>
      <c r="D741" s="29"/>
      <c r="E741" s="29"/>
    </row>
    <row r="742">
      <c r="A742" s="29"/>
      <c r="B742" s="29"/>
      <c r="C742" s="29"/>
      <c r="D742" s="29"/>
      <c r="E742" s="29"/>
    </row>
    <row r="743">
      <c r="A743" s="29"/>
      <c r="B743" s="29"/>
      <c r="C743" s="29"/>
      <c r="D743" s="29"/>
      <c r="E743" s="29"/>
    </row>
    <row r="744">
      <c r="A744" s="29"/>
      <c r="B744" s="29"/>
      <c r="C744" s="29"/>
      <c r="D744" s="29"/>
      <c r="E744" s="29"/>
    </row>
    <row r="745">
      <c r="A745" s="29"/>
      <c r="B745" s="29"/>
      <c r="C745" s="29"/>
      <c r="D745" s="29"/>
      <c r="E745" s="29"/>
    </row>
    <row r="746">
      <c r="A746" s="29"/>
      <c r="B746" s="29"/>
      <c r="C746" s="29"/>
      <c r="D746" s="29"/>
      <c r="E746" s="29"/>
    </row>
    <row r="747">
      <c r="A747" s="29"/>
      <c r="B747" s="29"/>
      <c r="C747" s="29"/>
      <c r="D747" s="29"/>
      <c r="E747" s="29"/>
    </row>
    <row r="748">
      <c r="A748" s="29"/>
      <c r="B748" s="29"/>
      <c r="C748" s="29"/>
      <c r="D748" s="29"/>
      <c r="E748" s="29"/>
    </row>
    <row r="749">
      <c r="A749" s="29"/>
      <c r="B749" s="29"/>
      <c r="C749" s="29"/>
      <c r="D749" s="29"/>
      <c r="E749" s="29"/>
    </row>
    <row r="750">
      <c r="A750" s="29"/>
      <c r="B750" s="29"/>
      <c r="C750" s="29"/>
      <c r="D750" s="29"/>
      <c r="E750" s="29"/>
    </row>
    <row r="751">
      <c r="A751" s="29"/>
      <c r="B751" s="29"/>
      <c r="C751" s="29"/>
      <c r="D751" s="29"/>
      <c r="E751" s="29"/>
    </row>
    <row r="752">
      <c r="A752" s="29"/>
      <c r="B752" s="29"/>
      <c r="C752" s="29"/>
      <c r="D752" s="29"/>
      <c r="E752" s="29"/>
    </row>
    <row r="753">
      <c r="A753" s="29"/>
      <c r="B753" s="29"/>
      <c r="C753" s="29"/>
      <c r="D753" s="29"/>
      <c r="E753" s="29"/>
    </row>
    <row r="754">
      <c r="A754" s="29"/>
      <c r="B754" s="29"/>
      <c r="C754" s="29"/>
      <c r="D754" s="29"/>
      <c r="E754" s="29"/>
    </row>
    <row r="755">
      <c r="A755" s="29"/>
      <c r="B755" s="29"/>
      <c r="C755" s="29"/>
      <c r="D755" s="29"/>
      <c r="E755" s="29"/>
    </row>
    <row r="756">
      <c r="A756" s="29"/>
      <c r="B756" s="29"/>
      <c r="C756" s="29"/>
      <c r="D756" s="29"/>
      <c r="E756" s="29"/>
    </row>
    <row r="757">
      <c r="A757" s="29"/>
      <c r="B757" s="29"/>
      <c r="C757" s="29"/>
      <c r="D757" s="29"/>
      <c r="E757" s="29"/>
    </row>
    <row r="758">
      <c r="A758" s="29"/>
      <c r="B758" s="29"/>
      <c r="C758" s="29"/>
      <c r="D758" s="29"/>
      <c r="E758" s="29"/>
    </row>
    <row r="759">
      <c r="A759" s="29"/>
      <c r="B759" s="29"/>
      <c r="C759" s="29"/>
      <c r="D759" s="29"/>
      <c r="E759" s="29"/>
    </row>
    <row r="760">
      <c r="A760" s="29"/>
      <c r="B760" s="29"/>
      <c r="C760" s="29"/>
      <c r="D760" s="29"/>
      <c r="E760" s="29"/>
    </row>
    <row r="761">
      <c r="A761" s="29"/>
      <c r="B761" s="29"/>
      <c r="C761" s="29"/>
      <c r="D761" s="29"/>
      <c r="E761" s="29"/>
    </row>
    <row r="762">
      <c r="A762" s="29"/>
      <c r="B762" s="29"/>
      <c r="C762" s="29"/>
      <c r="D762" s="29"/>
      <c r="E762" s="29"/>
    </row>
    <row r="763">
      <c r="A763" s="29"/>
      <c r="B763" s="29"/>
      <c r="C763" s="29"/>
      <c r="D763" s="29"/>
      <c r="E763" s="29"/>
    </row>
    <row r="764">
      <c r="A764" s="29"/>
      <c r="B764" s="29"/>
      <c r="C764" s="29"/>
      <c r="D764" s="29"/>
      <c r="E764" s="29"/>
    </row>
    <row r="765">
      <c r="A765" s="29"/>
      <c r="B765" s="29"/>
      <c r="C765" s="29"/>
      <c r="D765" s="29"/>
      <c r="E765" s="29"/>
    </row>
    <row r="766">
      <c r="A766" s="29"/>
      <c r="B766" s="29"/>
      <c r="C766" s="29"/>
      <c r="D766" s="29"/>
      <c r="E766" s="29"/>
    </row>
    <row r="767">
      <c r="A767" s="29"/>
      <c r="B767" s="29"/>
      <c r="C767" s="29"/>
      <c r="D767" s="29"/>
      <c r="E767" s="29"/>
    </row>
    <row r="768">
      <c r="A768" s="29"/>
      <c r="B768" s="29"/>
      <c r="C768" s="29"/>
      <c r="D768" s="29"/>
      <c r="E768" s="29"/>
    </row>
    <row r="769">
      <c r="A769" s="29"/>
      <c r="B769" s="29"/>
      <c r="C769" s="29"/>
      <c r="D769" s="29"/>
      <c r="E769" s="29"/>
    </row>
    <row r="770">
      <c r="A770" s="29"/>
      <c r="B770" s="29"/>
      <c r="C770" s="29"/>
      <c r="D770" s="29"/>
      <c r="E770" s="29"/>
    </row>
    <row r="771">
      <c r="A771" s="29"/>
      <c r="B771" s="29"/>
      <c r="C771" s="29"/>
      <c r="D771" s="29"/>
      <c r="E771" s="29"/>
    </row>
    <row r="772">
      <c r="A772" s="29"/>
      <c r="B772" s="29"/>
      <c r="C772" s="29"/>
      <c r="D772" s="29"/>
      <c r="E772" s="29"/>
    </row>
    <row r="773">
      <c r="A773" s="29"/>
      <c r="B773" s="29"/>
      <c r="C773" s="29"/>
      <c r="D773" s="29"/>
      <c r="E773" s="29"/>
    </row>
    <row r="774">
      <c r="A774" s="29"/>
      <c r="B774" s="29"/>
      <c r="C774" s="29"/>
      <c r="D774" s="29"/>
      <c r="E774" s="29"/>
    </row>
    <row r="775">
      <c r="A775" s="29"/>
      <c r="B775" s="29"/>
      <c r="C775" s="29"/>
      <c r="D775" s="29"/>
      <c r="E775" s="29"/>
    </row>
    <row r="776">
      <c r="A776" s="29"/>
      <c r="B776" s="29"/>
      <c r="C776" s="29"/>
      <c r="D776" s="29"/>
      <c r="E776" s="29"/>
    </row>
    <row r="777">
      <c r="A777" s="29"/>
      <c r="B777" s="29"/>
      <c r="C777" s="29"/>
      <c r="D777" s="29"/>
      <c r="E777" s="29"/>
    </row>
    <row r="778">
      <c r="A778" s="29"/>
      <c r="B778" s="29"/>
      <c r="C778" s="29"/>
      <c r="D778" s="29"/>
      <c r="E778" s="29"/>
    </row>
    <row r="779">
      <c r="A779" s="29"/>
      <c r="B779" s="29"/>
      <c r="C779" s="29"/>
      <c r="D779" s="29"/>
      <c r="E779" s="29"/>
    </row>
    <row r="780">
      <c r="A780" s="29"/>
      <c r="B780" s="29"/>
      <c r="C780" s="29"/>
      <c r="D780" s="29"/>
      <c r="E780" s="29"/>
    </row>
    <row r="781">
      <c r="A781" s="29"/>
      <c r="B781" s="29"/>
      <c r="C781" s="29"/>
      <c r="D781" s="29"/>
      <c r="E781" s="29"/>
    </row>
    <row r="782">
      <c r="A782" s="29"/>
      <c r="B782" s="29"/>
      <c r="C782" s="29"/>
      <c r="D782" s="29"/>
      <c r="E782" s="29"/>
    </row>
    <row r="783">
      <c r="A783" s="29"/>
      <c r="B783" s="29"/>
      <c r="C783" s="29"/>
      <c r="D783" s="29"/>
      <c r="E783" s="29"/>
    </row>
    <row r="784">
      <c r="A784" s="29"/>
      <c r="B784" s="29"/>
      <c r="C784" s="29"/>
      <c r="D784" s="29"/>
      <c r="E784" s="29"/>
    </row>
    <row r="785">
      <c r="A785" s="29"/>
      <c r="B785" s="29"/>
      <c r="C785" s="29"/>
      <c r="D785" s="29"/>
      <c r="E785" s="29"/>
    </row>
    <row r="786">
      <c r="A786" s="29"/>
      <c r="B786" s="29"/>
      <c r="C786" s="29"/>
      <c r="D786" s="29"/>
      <c r="E786" s="29"/>
    </row>
    <row r="787">
      <c r="A787" s="29"/>
      <c r="B787" s="29"/>
      <c r="C787" s="29"/>
      <c r="D787" s="29"/>
      <c r="E787" s="29"/>
    </row>
    <row r="788">
      <c r="A788" s="29"/>
      <c r="B788" s="29"/>
      <c r="C788" s="29"/>
      <c r="D788" s="29"/>
      <c r="E788" s="29"/>
    </row>
    <row r="789">
      <c r="A789" s="29"/>
      <c r="B789" s="29"/>
      <c r="C789" s="29"/>
      <c r="D789" s="29"/>
      <c r="E789" s="29"/>
    </row>
    <row r="790">
      <c r="A790" s="29"/>
      <c r="B790" s="29"/>
      <c r="C790" s="29"/>
      <c r="D790" s="29"/>
      <c r="E790" s="29"/>
    </row>
    <row r="791">
      <c r="A791" s="29"/>
      <c r="B791" s="29"/>
      <c r="C791" s="29"/>
      <c r="D791" s="29"/>
      <c r="E791" s="29"/>
    </row>
    <row r="792">
      <c r="A792" s="29"/>
      <c r="B792" s="29"/>
      <c r="C792" s="29"/>
      <c r="D792" s="29"/>
      <c r="E792" s="29"/>
    </row>
    <row r="793">
      <c r="A793" s="29"/>
      <c r="B793" s="29"/>
      <c r="C793" s="29"/>
      <c r="D793" s="29"/>
      <c r="E793" s="29"/>
    </row>
    <row r="794">
      <c r="A794" s="29"/>
      <c r="B794" s="29"/>
      <c r="C794" s="29"/>
      <c r="D794" s="29"/>
      <c r="E794" s="29"/>
    </row>
    <row r="795">
      <c r="A795" s="29"/>
      <c r="B795" s="29"/>
      <c r="C795" s="29"/>
      <c r="D795" s="29"/>
      <c r="E795" s="29"/>
    </row>
    <row r="796">
      <c r="A796" s="29"/>
      <c r="B796" s="29"/>
      <c r="C796" s="29"/>
      <c r="D796" s="29"/>
      <c r="E796" s="29"/>
    </row>
    <row r="797">
      <c r="A797" s="29"/>
      <c r="B797" s="29"/>
      <c r="C797" s="29"/>
      <c r="D797" s="29"/>
      <c r="E797" s="29"/>
    </row>
    <row r="798">
      <c r="A798" s="29"/>
      <c r="B798" s="29"/>
      <c r="C798" s="29"/>
      <c r="D798" s="29"/>
      <c r="E798" s="29"/>
    </row>
    <row r="799">
      <c r="A799" s="29"/>
      <c r="B799" s="29"/>
      <c r="C799" s="29"/>
      <c r="D799" s="29"/>
      <c r="E799" s="29"/>
    </row>
    <row r="800">
      <c r="A800" s="29"/>
      <c r="B800" s="29"/>
      <c r="C800" s="29"/>
      <c r="D800" s="29"/>
      <c r="E800" s="29"/>
    </row>
    <row r="801">
      <c r="A801" s="29"/>
      <c r="B801" s="29"/>
      <c r="C801" s="29"/>
      <c r="D801" s="29"/>
      <c r="E801" s="29"/>
    </row>
    <row r="802">
      <c r="A802" s="29"/>
      <c r="B802" s="29"/>
      <c r="C802" s="29"/>
      <c r="D802" s="29"/>
      <c r="E802" s="29"/>
    </row>
    <row r="803">
      <c r="A803" s="29"/>
      <c r="B803" s="29"/>
      <c r="C803" s="29"/>
      <c r="D803" s="29"/>
      <c r="E803" s="29"/>
    </row>
    <row r="804">
      <c r="A804" s="29"/>
      <c r="B804" s="29"/>
      <c r="C804" s="29"/>
      <c r="D804" s="29"/>
      <c r="E804" s="29"/>
    </row>
    <row r="805">
      <c r="A805" s="29"/>
      <c r="B805" s="29"/>
      <c r="C805" s="29"/>
      <c r="D805" s="29"/>
      <c r="E805" s="29"/>
    </row>
    <row r="806">
      <c r="A806" s="29"/>
      <c r="B806" s="29"/>
      <c r="C806" s="29"/>
      <c r="D806" s="29"/>
      <c r="E806" s="29"/>
    </row>
    <row r="807">
      <c r="A807" s="29"/>
      <c r="B807" s="29"/>
      <c r="C807" s="29"/>
      <c r="D807" s="29"/>
      <c r="E807" s="29"/>
    </row>
    <row r="808">
      <c r="A808" s="29"/>
      <c r="B808" s="29"/>
      <c r="C808" s="29"/>
      <c r="D808" s="29"/>
      <c r="E808" s="29"/>
    </row>
    <row r="809">
      <c r="A809" s="29"/>
      <c r="B809" s="29"/>
      <c r="C809" s="29"/>
      <c r="D809" s="29"/>
      <c r="E809" s="29"/>
    </row>
    <row r="810">
      <c r="A810" s="29"/>
      <c r="B810" s="29"/>
      <c r="C810" s="29"/>
      <c r="D810" s="29"/>
      <c r="E810" s="29"/>
    </row>
    <row r="811">
      <c r="A811" s="29"/>
      <c r="B811" s="29"/>
      <c r="C811" s="29"/>
      <c r="D811" s="29"/>
      <c r="E811" s="29"/>
    </row>
    <row r="812">
      <c r="A812" s="29"/>
      <c r="B812" s="29"/>
      <c r="C812" s="29"/>
      <c r="D812" s="29"/>
      <c r="E812" s="29"/>
    </row>
    <row r="813">
      <c r="A813" s="29"/>
      <c r="B813" s="29"/>
      <c r="C813" s="29"/>
      <c r="D813" s="29"/>
      <c r="E813" s="29"/>
    </row>
    <row r="814">
      <c r="A814" s="29"/>
      <c r="B814" s="29"/>
      <c r="C814" s="29"/>
      <c r="D814" s="29"/>
      <c r="E814" s="29"/>
    </row>
    <row r="815">
      <c r="A815" s="29"/>
      <c r="B815" s="29"/>
      <c r="C815" s="29"/>
      <c r="D815" s="29"/>
      <c r="E815" s="29"/>
    </row>
    <row r="816">
      <c r="A816" s="29"/>
      <c r="B816" s="29"/>
      <c r="C816" s="29"/>
      <c r="D816" s="29"/>
      <c r="E816" s="29"/>
    </row>
    <row r="817">
      <c r="A817" s="29"/>
      <c r="B817" s="29"/>
      <c r="C817" s="29"/>
      <c r="D817" s="29"/>
      <c r="E817" s="29"/>
    </row>
    <row r="818">
      <c r="A818" s="29"/>
      <c r="B818" s="29"/>
      <c r="C818" s="29"/>
      <c r="D818" s="29"/>
      <c r="E818" s="29"/>
    </row>
    <row r="819">
      <c r="A819" s="29"/>
      <c r="B819" s="29"/>
      <c r="C819" s="29"/>
      <c r="D819" s="29"/>
      <c r="E819" s="29"/>
    </row>
    <row r="820">
      <c r="A820" s="29"/>
      <c r="B820" s="29"/>
      <c r="C820" s="29"/>
      <c r="D820" s="29"/>
      <c r="E820" s="29"/>
    </row>
    <row r="821">
      <c r="A821" s="29"/>
      <c r="B821" s="29"/>
      <c r="C821" s="29"/>
      <c r="D821" s="29"/>
      <c r="E821" s="29"/>
    </row>
    <row r="822">
      <c r="A822" s="29"/>
      <c r="B822" s="29"/>
      <c r="C822" s="29"/>
      <c r="D822" s="29"/>
      <c r="E822" s="29"/>
    </row>
    <row r="823">
      <c r="A823" s="29"/>
      <c r="B823" s="29"/>
      <c r="C823" s="29"/>
      <c r="D823" s="29"/>
      <c r="E823" s="29"/>
    </row>
    <row r="824">
      <c r="A824" s="29"/>
      <c r="B824" s="29"/>
      <c r="C824" s="29"/>
      <c r="D824" s="29"/>
      <c r="E824" s="29"/>
    </row>
    <row r="825">
      <c r="A825" s="29"/>
      <c r="B825" s="29"/>
      <c r="C825" s="29"/>
      <c r="D825" s="29"/>
      <c r="E825" s="29"/>
    </row>
    <row r="826">
      <c r="A826" s="29"/>
      <c r="B826" s="29"/>
      <c r="C826" s="29"/>
      <c r="D826" s="29"/>
      <c r="E826" s="29"/>
    </row>
    <row r="827">
      <c r="A827" s="29"/>
      <c r="B827" s="29"/>
      <c r="C827" s="29"/>
      <c r="D827" s="29"/>
      <c r="E827" s="29"/>
    </row>
    <row r="828">
      <c r="A828" s="29"/>
      <c r="B828" s="29"/>
      <c r="C828" s="29"/>
      <c r="D828" s="29"/>
      <c r="E828" s="29"/>
    </row>
    <row r="829">
      <c r="A829" s="29"/>
      <c r="B829" s="29"/>
      <c r="C829" s="29"/>
      <c r="D829" s="29"/>
      <c r="E829" s="29"/>
    </row>
    <row r="830">
      <c r="A830" s="29"/>
      <c r="B830" s="29"/>
      <c r="C830" s="29"/>
      <c r="D830" s="29"/>
      <c r="E830" s="29"/>
    </row>
    <row r="831">
      <c r="A831" s="29"/>
      <c r="B831" s="29"/>
      <c r="C831" s="29"/>
      <c r="D831" s="29"/>
      <c r="E831" s="29"/>
    </row>
    <row r="832">
      <c r="A832" s="29"/>
      <c r="B832" s="29"/>
      <c r="C832" s="29"/>
      <c r="D832" s="29"/>
      <c r="E832" s="29"/>
    </row>
    <row r="833">
      <c r="A833" s="29"/>
      <c r="B833" s="29"/>
      <c r="C833" s="29"/>
      <c r="D833" s="29"/>
      <c r="E833" s="29"/>
    </row>
    <row r="834">
      <c r="A834" s="29"/>
      <c r="B834" s="29"/>
      <c r="C834" s="29"/>
      <c r="D834" s="29"/>
      <c r="E834" s="29"/>
    </row>
    <row r="835">
      <c r="A835" s="29"/>
      <c r="B835" s="29"/>
      <c r="C835" s="29"/>
      <c r="D835" s="29"/>
      <c r="E835" s="29"/>
    </row>
    <row r="836">
      <c r="A836" s="29"/>
      <c r="B836" s="29"/>
      <c r="C836" s="29"/>
      <c r="D836" s="29"/>
      <c r="E836" s="29"/>
    </row>
    <row r="837">
      <c r="A837" s="29"/>
      <c r="B837" s="29"/>
      <c r="C837" s="29"/>
      <c r="D837" s="29"/>
      <c r="E837" s="29"/>
    </row>
    <row r="838">
      <c r="A838" s="29"/>
      <c r="B838" s="29"/>
      <c r="C838" s="29"/>
      <c r="D838" s="29"/>
      <c r="E838" s="29"/>
    </row>
    <row r="839">
      <c r="A839" s="29"/>
      <c r="B839" s="29"/>
      <c r="C839" s="29"/>
      <c r="D839" s="29"/>
      <c r="E839" s="29"/>
    </row>
    <row r="840">
      <c r="A840" s="29"/>
      <c r="B840" s="29"/>
      <c r="C840" s="29"/>
      <c r="D840" s="29"/>
      <c r="E840" s="29"/>
    </row>
    <row r="841">
      <c r="A841" s="29"/>
      <c r="B841" s="29"/>
      <c r="C841" s="29"/>
      <c r="D841" s="29"/>
      <c r="E841" s="29"/>
    </row>
    <row r="842">
      <c r="A842" s="29"/>
      <c r="B842" s="29"/>
      <c r="C842" s="29"/>
      <c r="D842" s="29"/>
      <c r="E842" s="29"/>
    </row>
    <row r="843">
      <c r="A843" s="29"/>
      <c r="B843" s="29"/>
      <c r="C843" s="29"/>
      <c r="D843" s="29"/>
      <c r="E843" s="29"/>
    </row>
    <row r="844">
      <c r="A844" s="29"/>
      <c r="B844" s="29"/>
      <c r="C844" s="29"/>
      <c r="D844" s="29"/>
      <c r="E844" s="29"/>
    </row>
    <row r="845">
      <c r="A845" s="29"/>
      <c r="B845" s="29"/>
      <c r="C845" s="29"/>
      <c r="D845" s="29"/>
      <c r="E845" s="29"/>
    </row>
    <row r="846">
      <c r="A846" s="29"/>
      <c r="B846" s="29"/>
      <c r="C846" s="29"/>
      <c r="D846" s="29"/>
      <c r="E846" s="29"/>
    </row>
    <row r="847">
      <c r="A847" s="29"/>
      <c r="B847" s="29"/>
      <c r="C847" s="29"/>
      <c r="D847" s="29"/>
      <c r="E847" s="29"/>
    </row>
    <row r="848">
      <c r="A848" s="29"/>
      <c r="B848" s="29"/>
      <c r="C848" s="29"/>
      <c r="D848" s="29"/>
      <c r="E848" s="29"/>
    </row>
    <row r="849">
      <c r="A849" s="29"/>
      <c r="B849" s="29"/>
      <c r="C849" s="29"/>
      <c r="D849" s="29"/>
      <c r="E849" s="29"/>
    </row>
    <row r="850">
      <c r="A850" s="29"/>
      <c r="B850" s="29"/>
      <c r="C850" s="29"/>
      <c r="D850" s="29"/>
      <c r="E850" s="29"/>
    </row>
    <row r="851">
      <c r="A851" s="29"/>
      <c r="B851" s="29"/>
      <c r="C851" s="29"/>
      <c r="D851" s="29"/>
      <c r="E851" s="29"/>
    </row>
    <row r="852">
      <c r="A852" s="29"/>
      <c r="B852" s="29"/>
      <c r="C852" s="29"/>
      <c r="D852" s="29"/>
      <c r="E852" s="29"/>
    </row>
    <row r="853">
      <c r="A853" s="29"/>
      <c r="B853" s="29"/>
      <c r="C853" s="29"/>
      <c r="D853" s="29"/>
      <c r="E853" s="29"/>
    </row>
    <row r="854">
      <c r="A854" s="29"/>
      <c r="B854" s="29"/>
      <c r="C854" s="29"/>
      <c r="D854" s="29"/>
      <c r="E854" s="29"/>
    </row>
    <row r="855">
      <c r="A855" s="29"/>
      <c r="B855" s="29"/>
      <c r="C855" s="29"/>
      <c r="D855" s="29"/>
      <c r="E855" s="29"/>
    </row>
    <row r="856">
      <c r="A856" s="29"/>
      <c r="B856" s="29"/>
      <c r="C856" s="29"/>
      <c r="D856" s="29"/>
      <c r="E856" s="29"/>
    </row>
    <row r="857">
      <c r="A857" s="29"/>
      <c r="B857" s="29"/>
      <c r="C857" s="29"/>
      <c r="D857" s="29"/>
      <c r="E857" s="29"/>
    </row>
    <row r="858">
      <c r="A858" s="29"/>
      <c r="B858" s="29"/>
      <c r="C858" s="29"/>
      <c r="D858" s="29"/>
      <c r="E858" s="29"/>
    </row>
    <row r="859">
      <c r="A859" s="29"/>
      <c r="B859" s="29"/>
      <c r="C859" s="29"/>
      <c r="D859" s="29"/>
      <c r="E859" s="29"/>
    </row>
    <row r="860">
      <c r="A860" s="29"/>
      <c r="B860" s="29"/>
      <c r="C860" s="29"/>
      <c r="D860" s="29"/>
      <c r="E860" s="29"/>
    </row>
    <row r="861">
      <c r="A861" s="29"/>
      <c r="B861" s="29"/>
      <c r="C861" s="29"/>
      <c r="D861" s="29"/>
      <c r="E861" s="29"/>
    </row>
    <row r="862">
      <c r="A862" s="29"/>
      <c r="B862" s="29"/>
      <c r="C862" s="29"/>
      <c r="D862" s="29"/>
      <c r="E862" s="29"/>
    </row>
    <row r="863">
      <c r="A863" s="29"/>
      <c r="B863" s="29"/>
      <c r="C863" s="29"/>
      <c r="D863" s="29"/>
      <c r="E863" s="29"/>
    </row>
    <row r="864">
      <c r="A864" s="29"/>
      <c r="B864" s="29"/>
      <c r="C864" s="29"/>
      <c r="D864" s="29"/>
      <c r="E864" s="29"/>
    </row>
    <row r="865">
      <c r="A865" s="29"/>
      <c r="B865" s="29"/>
      <c r="C865" s="29"/>
      <c r="D865" s="29"/>
      <c r="E865" s="29"/>
    </row>
    <row r="866">
      <c r="A866" s="29"/>
      <c r="B866" s="29"/>
      <c r="C866" s="29"/>
      <c r="D866" s="29"/>
      <c r="E866" s="29"/>
    </row>
    <row r="867">
      <c r="A867" s="29"/>
      <c r="B867" s="29"/>
      <c r="C867" s="29"/>
      <c r="D867" s="29"/>
      <c r="E867" s="29"/>
    </row>
    <row r="868">
      <c r="A868" s="29"/>
      <c r="B868" s="29"/>
      <c r="C868" s="29"/>
      <c r="D868" s="29"/>
      <c r="E868" s="29"/>
    </row>
    <row r="869">
      <c r="A869" s="29"/>
      <c r="B869" s="29"/>
      <c r="C869" s="29"/>
      <c r="D869" s="29"/>
      <c r="E869" s="29"/>
    </row>
    <row r="870">
      <c r="A870" s="29"/>
      <c r="B870" s="29"/>
      <c r="C870" s="29"/>
      <c r="D870" s="29"/>
      <c r="E870" s="29"/>
    </row>
    <row r="871">
      <c r="A871" s="29"/>
      <c r="B871" s="29"/>
      <c r="C871" s="29"/>
      <c r="D871" s="29"/>
      <c r="E871" s="29"/>
    </row>
    <row r="872">
      <c r="A872" s="29"/>
      <c r="B872" s="29"/>
      <c r="C872" s="29"/>
      <c r="D872" s="29"/>
      <c r="E872" s="29"/>
    </row>
    <row r="873">
      <c r="A873" s="29"/>
      <c r="B873" s="29"/>
      <c r="C873" s="29"/>
      <c r="D873" s="29"/>
      <c r="E873" s="29"/>
    </row>
    <row r="874">
      <c r="A874" s="29"/>
      <c r="B874" s="29"/>
      <c r="C874" s="29"/>
      <c r="D874" s="29"/>
      <c r="E874" s="29"/>
    </row>
    <row r="875">
      <c r="A875" s="29"/>
      <c r="B875" s="29"/>
      <c r="C875" s="29"/>
      <c r="D875" s="29"/>
      <c r="E875" s="29"/>
    </row>
    <row r="876">
      <c r="A876" s="29"/>
      <c r="B876" s="29"/>
      <c r="C876" s="29"/>
      <c r="D876" s="29"/>
      <c r="E876" s="29"/>
    </row>
    <row r="877">
      <c r="A877" s="29"/>
      <c r="B877" s="29"/>
      <c r="C877" s="29"/>
      <c r="D877" s="29"/>
      <c r="E877" s="29"/>
    </row>
    <row r="878">
      <c r="A878" s="29"/>
      <c r="B878" s="29"/>
      <c r="C878" s="29"/>
      <c r="D878" s="29"/>
      <c r="E878" s="29"/>
    </row>
    <row r="879">
      <c r="A879" s="29"/>
      <c r="B879" s="29"/>
      <c r="C879" s="29"/>
      <c r="D879" s="29"/>
      <c r="E879" s="29"/>
    </row>
    <row r="880">
      <c r="A880" s="29"/>
      <c r="B880" s="29"/>
      <c r="C880" s="29"/>
      <c r="D880" s="29"/>
      <c r="E880" s="29"/>
    </row>
    <row r="881">
      <c r="A881" s="29"/>
      <c r="B881" s="29"/>
      <c r="C881" s="29"/>
      <c r="D881" s="29"/>
      <c r="E881" s="29"/>
    </row>
    <row r="882">
      <c r="A882" s="29"/>
      <c r="B882" s="29"/>
      <c r="C882" s="29"/>
      <c r="D882" s="29"/>
      <c r="E882" s="29"/>
    </row>
    <row r="883">
      <c r="A883" s="29"/>
      <c r="B883" s="29"/>
      <c r="C883" s="29"/>
      <c r="D883" s="29"/>
      <c r="E883" s="29"/>
    </row>
    <row r="884">
      <c r="A884" s="29"/>
      <c r="B884" s="29"/>
      <c r="C884" s="29"/>
      <c r="D884" s="29"/>
      <c r="E884" s="29"/>
    </row>
    <row r="885">
      <c r="A885" s="29"/>
      <c r="B885" s="29"/>
      <c r="C885" s="29"/>
      <c r="D885" s="29"/>
      <c r="E885" s="29"/>
    </row>
    <row r="886">
      <c r="A886" s="29"/>
      <c r="B886" s="29"/>
      <c r="C886" s="29"/>
      <c r="D886" s="29"/>
      <c r="E886" s="29"/>
    </row>
    <row r="887">
      <c r="A887" s="29"/>
      <c r="B887" s="29"/>
      <c r="C887" s="29"/>
      <c r="D887" s="29"/>
      <c r="E887" s="29"/>
    </row>
    <row r="888">
      <c r="A888" s="29"/>
      <c r="B888" s="29"/>
      <c r="C888" s="29"/>
      <c r="D888" s="29"/>
      <c r="E888" s="29"/>
    </row>
    <row r="889">
      <c r="A889" s="29"/>
      <c r="B889" s="29"/>
      <c r="C889" s="29"/>
      <c r="D889" s="29"/>
      <c r="E889" s="29"/>
    </row>
    <row r="890">
      <c r="A890" s="29"/>
      <c r="B890" s="29"/>
      <c r="C890" s="29"/>
      <c r="D890" s="29"/>
      <c r="E890" s="29"/>
    </row>
    <row r="891">
      <c r="A891" s="29"/>
      <c r="B891" s="29"/>
      <c r="C891" s="29"/>
      <c r="D891" s="29"/>
      <c r="E891" s="29"/>
    </row>
    <row r="892">
      <c r="A892" s="29"/>
      <c r="B892" s="29"/>
      <c r="C892" s="29"/>
      <c r="D892" s="29"/>
      <c r="E892" s="29"/>
    </row>
    <row r="893">
      <c r="A893" s="29"/>
      <c r="B893" s="29"/>
      <c r="C893" s="29"/>
      <c r="D893" s="29"/>
      <c r="E893" s="29"/>
    </row>
    <row r="894">
      <c r="A894" s="29"/>
      <c r="B894" s="29"/>
      <c r="C894" s="29"/>
      <c r="D894" s="29"/>
      <c r="E894" s="29"/>
    </row>
    <row r="895">
      <c r="A895" s="29"/>
      <c r="B895" s="29"/>
      <c r="C895" s="29"/>
      <c r="D895" s="29"/>
      <c r="E895" s="29"/>
    </row>
    <row r="896">
      <c r="A896" s="29"/>
      <c r="B896" s="29"/>
      <c r="C896" s="29"/>
      <c r="D896" s="29"/>
      <c r="E896" s="29"/>
    </row>
    <row r="897">
      <c r="A897" s="29"/>
      <c r="B897" s="29"/>
      <c r="C897" s="29"/>
      <c r="D897" s="29"/>
      <c r="E897" s="29"/>
    </row>
    <row r="898">
      <c r="A898" s="29"/>
      <c r="B898" s="29"/>
      <c r="C898" s="29"/>
      <c r="D898" s="29"/>
      <c r="E898" s="29"/>
    </row>
    <row r="899">
      <c r="A899" s="29"/>
      <c r="B899" s="29"/>
      <c r="C899" s="29"/>
      <c r="D899" s="29"/>
      <c r="E899" s="29"/>
    </row>
    <row r="900">
      <c r="A900" s="29"/>
      <c r="B900" s="29"/>
      <c r="C900" s="29"/>
      <c r="D900" s="29"/>
      <c r="E900" s="29"/>
    </row>
    <row r="901">
      <c r="A901" s="29"/>
      <c r="B901" s="29"/>
      <c r="C901" s="29"/>
      <c r="D901" s="29"/>
      <c r="E901" s="29"/>
    </row>
    <row r="902">
      <c r="A902" s="29"/>
      <c r="B902" s="29"/>
      <c r="C902" s="29"/>
      <c r="D902" s="29"/>
      <c r="E902" s="29"/>
    </row>
    <row r="903">
      <c r="A903" s="29"/>
      <c r="B903" s="29"/>
      <c r="C903" s="29"/>
      <c r="D903" s="29"/>
      <c r="E903" s="29"/>
    </row>
    <row r="904">
      <c r="A904" s="29"/>
      <c r="B904" s="29"/>
      <c r="C904" s="29"/>
      <c r="D904" s="29"/>
      <c r="E904" s="29"/>
    </row>
    <row r="905">
      <c r="A905" s="29"/>
      <c r="B905" s="29"/>
      <c r="C905" s="29"/>
      <c r="D905" s="29"/>
      <c r="E905" s="29"/>
    </row>
    <row r="906">
      <c r="A906" s="29"/>
      <c r="B906" s="29"/>
      <c r="C906" s="29"/>
      <c r="D906" s="29"/>
      <c r="E906" s="29"/>
    </row>
    <row r="907">
      <c r="A907" s="29"/>
      <c r="B907" s="29"/>
      <c r="C907" s="29"/>
      <c r="D907" s="29"/>
      <c r="E907" s="29"/>
    </row>
    <row r="908">
      <c r="A908" s="29"/>
      <c r="B908" s="29"/>
      <c r="C908" s="29"/>
      <c r="D908" s="29"/>
      <c r="E908" s="29"/>
    </row>
    <row r="909">
      <c r="A909" s="29"/>
      <c r="B909" s="29"/>
      <c r="C909" s="29"/>
      <c r="D909" s="29"/>
      <c r="E909" s="29"/>
    </row>
    <row r="910">
      <c r="A910" s="29"/>
      <c r="B910" s="29"/>
      <c r="C910" s="29"/>
      <c r="D910" s="29"/>
      <c r="E910" s="29"/>
    </row>
    <row r="911">
      <c r="A911" s="29"/>
      <c r="B911" s="29"/>
      <c r="C911" s="29"/>
      <c r="D911" s="29"/>
      <c r="E911" s="29"/>
    </row>
    <row r="912">
      <c r="A912" s="29"/>
      <c r="B912" s="29"/>
      <c r="C912" s="29"/>
      <c r="D912" s="29"/>
      <c r="E912" s="29"/>
    </row>
    <row r="913">
      <c r="A913" s="29"/>
      <c r="B913" s="29"/>
      <c r="C913" s="29"/>
      <c r="D913" s="29"/>
      <c r="E913" s="29"/>
    </row>
    <row r="914">
      <c r="A914" s="29"/>
      <c r="B914" s="29"/>
      <c r="C914" s="29"/>
      <c r="D914" s="29"/>
      <c r="E914" s="29"/>
    </row>
    <row r="915">
      <c r="A915" s="29"/>
      <c r="B915" s="29"/>
      <c r="C915" s="29"/>
      <c r="D915" s="29"/>
      <c r="E915" s="29"/>
    </row>
    <row r="916">
      <c r="A916" s="29"/>
      <c r="B916" s="29"/>
      <c r="C916" s="29"/>
      <c r="D916" s="29"/>
      <c r="E916" s="29"/>
    </row>
    <row r="917">
      <c r="A917" s="29"/>
      <c r="B917" s="29"/>
      <c r="C917" s="29"/>
      <c r="D917" s="29"/>
      <c r="E917" s="29"/>
    </row>
    <row r="918">
      <c r="A918" s="29"/>
      <c r="B918" s="29"/>
      <c r="C918" s="29"/>
      <c r="D918" s="29"/>
      <c r="E918" s="29"/>
    </row>
    <row r="919">
      <c r="A919" s="29"/>
      <c r="B919" s="29"/>
      <c r="C919" s="29"/>
      <c r="D919" s="29"/>
      <c r="E919" s="29"/>
    </row>
    <row r="920">
      <c r="A920" s="29"/>
      <c r="B920" s="29"/>
      <c r="C920" s="29"/>
      <c r="D920" s="29"/>
      <c r="E920" s="29"/>
    </row>
    <row r="921">
      <c r="A921" s="29"/>
      <c r="B921" s="29"/>
      <c r="C921" s="29"/>
      <c r="D921" s="29"/>
      <c r="E921" s="29"/>
    </row>
    <row r="922">
      <c r="A922" s="29"/>
      <c r="B922" s="29"/>
      <c r="C922" s="29"/>
      <c r="D922" s="29"/>
      <c r="E922" s="29"/>
    </row>
    <row r="923">
      <c r="A923" s="29"/>
      <c r="B923" s="29"/>
      <c r="C923" s="29"/>
      <c r="D923" s="29"/>
      <c r="E923" s="29"/>
    </row>
    <row r="924">
      <c r="A924" s="29"/>
      <c r="B924" s="29"/>
      <c r="C924" s="29"/>
      <c r="D924" s="29"/>
      <c r="E924" s="29"/>
    </row>
    <row r="925">
      <c r="A925" s="29"/>
      <c r="B925" s="29"/>
      <c r="C925" s="29"/>
      <c r="D925" s="29"/>
      <c r="E925" s="29"/>
    </row>
    <row r="926">
      <c r="A926" s="29"/>
      <c r="B926" s="29"/>
      <c r="C926" s="29"/>
      <c r="D926" s="29"/>
      <c r="E926" s="29"/>
    </row>
    <row r="927">
      <c r="A927" s="29"/>
      <c r="B927" s="29"/>
      <c r="C927" s="29"/>
      <c r="D927" s="29"/>
      <c r="E927" s="29"/>
    </row>
    <row r="928">
      <c r="A928" s="29"/>
      <c r="B928" s="29"/>
      <c r="C928" s="29"/>
      <c r="D928" s="29"/>
      <c r="E928" s="29"/>
    </row>
    <row r="929">
      <c r="A929" s="29"/>
      <c r="B929" s="29"/>
      <c r="C929" s="29"/>
      <c r="D929" s="29"/>
      <c r="E929" s="29"/>
    </row>
    <row r="930">
      <c r="A930" s="29"/>
      <c r="B930" s="29"/>
      <c r="C930" s="29"/>
      <c r="D930" s="29"/>
      <c r="E930" s="29"/>
    </row>
    <row r="931">
      <c r="A931" s="29"/>
      <c r="B931" s="29"/>
      <c r="C931" s="29"/>
      <c r="D931" s="29"/>
      <c r="E931" s="29"/>
    </row>
    <row r="932">
      <c r="A932" s="29"/>
      <c r="B932" s="29"/>
      <c r="C932" s="29"/>
      <c r="D932" s="29"/>
      <c r="E932" s="29"/>
    </row>
    <row r="933">
      <c r="A933" s="29"/>
      <c r="B933" s="29"/>
      <c r="C933" s="29"/>
      <c r="D933" s="29"/>
      <c r="E933" s="29"/>
    </row>
    <row r="934">
      <c r="A934" s="29"/>
      <c r="B934" s="29"/>
      <c r="C934" s="29"/>
      <c r="D934" s="29"/>
      <c r="E934" s="29"/>
    </row>
    <row r="935">
      <c r="A935" s="29"/>
      <c r="B935" s="29"/>
      <c r="C935" s="29"/>
      <c r="D935" s="29"/>
      <c r="E935" s="29"/>
    </row>
    <row r="936">
      <c r="A936" s="29"/>
      <c r="B936" s="29"/>
      <c r="C936" s="29"/>
      <c r="D936" s="29"/>
      <c r="E936" s="29"/>
    </row>
    <row r="937">
      <c r="A937" s="29"/>
      <c r="B937" s="29"/>
      <c r="C937" s="29"/>
      <c r="D937" s="29"/>
      <c r="E937" s="29"/>
    </row>
    <row r="938">
      <c r="A938" s="29"/>
      <c r="B938" s="29"/>
      <c r="C938" s="29"/>
      <c r="D938" s="29"/>
      <c r="E938" s="29"/>
    </row>
    <row r="939">
      <c r="A939" s="29"/>
      <c r="B939" s="29"/>
      <c r="C939" s="29"/>
      <c r="D939" s="29"/>
      <c r="E939" s="29"/>
    </row>
    <row r="940">
      <c r="A940" s="29"/>
      <c r="B940" s="29"/>
      <c r="C940" s="29"/>
      <c r="D940" s="29"/>
      <c r="E940" s="29"/>
    </row>
    <row r="941">
      <c r="A941" s="29"/>
      <c r="B941" s="29"/>
      <c r="C941" s="29"/>
      <c r="D941" s="29"/>
      <c r="E941" s="29"/>
    </row>
    <row r="942">
      <c r="A942" s="29"/>
      <c r="B942" s="29"/>
      <c r="C942" s="29"/>
      <c r="D942" s="29"/>
      <c r="E942" s="29"/>
    </row>
    <row r="943">
      <c r="A943" s="29"/>
      <c r="B943" s="29"/>
      <c r="C943" s="29"/>
      <c r="D943" s="29"/>
      <c r="E943" s="29"/>
    </row>
    <row r="944">
      <c r="A944" s="29"/>
      <c r="B944" s="29"/>
      <c r="C944" s="29"/>
      <c r="D944" s="29"/>
      <c r="E944" s="29"/>
    </row>
    <row r="945">
      <c r="A945" s="29"/>
      <c r="B945" s="29"/>
      <c r="C945" s="29"/>
      <c r="D945" s="29"/>
      <c r="E945" s="29"/>
    </row>
    <row r="946">
      <c r="A946" s="29"/>
      <c r="B946" s="29"/>
      <c r="C946" s="29"/>
      <c r="D946" s="29"/>
      <c r="E946" s="29"/>
    </row>
    <row r="947">
      <c r="A947" s="29"/>
      <c r="B947" s="29"/>
      <c r="C947" s="29"/>
      <c r="D947" s="29"/>
      <c r="E947" s="29"/>
    </row>
    <row r="948">
      <c r="A948" s="29"/>
      <c r="B948" s="29"/>
      <c r="C948" s="29"/>
      <c r="D948" s="29"/>
      <c r="E948" s="29"/>
    </row>
    <row r="949">
      <c r="A949" s="29"/>
      <c r="B949" s="29"/>
      <c r="C949" s="29"/>
      <c r="D949" s="29"/>
      <c r="E949" s="29"/>
    </row>
    <row r="950">
      <c r="A950" s="29"/>
      <c r="B950" s="29"/>
      <c r="C950" s="29"/>
      <c r="D950" s="29"/>
      <c r="E950" s="29"/>
    </row>
    <row r="951">
      <c r="A951" s="29"/>
      <c r="B951" s="29"/>
      <c r="C951" s="29"/>
      <c r="D951" s="29"/>
      <c r="E951" s="29"/>
    </row>
    <row r="952">
      <c r="A952" s="29"/>
      <c r="B952" s="29"/>
      <c r="C952" s="29"/>
      <c r="D952" s="29"/>
      <c r="E952" s="29"/>
    </row>
    <row r="953">
      <c r="A953" s="29"/>
      <c r="B953" s="29"/>
      <c r="C953" s="29"/>
      <c r="D953" s="29"/>
      <c r="E953" s="29"/>
    </row>
    <row r="954">
      <c r="A954" s="29"/>
      <c r="B954" s="29"/>
      <c r="C954" s="29"/>
      <c r="D954" s="29"/>
      <c r="E954" s="29"/>
    </row>
    <row r="955">
      <c r="A955" s="29"/>
      <c r="B955" s="29"/>
      <c r="C955" s="29"/>
      <c r="D955" s="29"/>
      <c r="E955" s="29"/>
    </row>
    <row r="956">
      <c r="A956" s="29"/>
      <c r="B956" s="29"/>
      <c r="C956" s="29"/>
      <c r="D956" s="29"/>
      <c r="E956" s="29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6"/>
      <c r="B1" s="77" t="s">
        <v>1182</v>
      </c>
      <c r="C1" s="59"/>
      <c r="D1" s="60"/>
      <c r="E1" s="83"/>
    </row>
    <row r="2">
      <c r="A2" s="117"/>
      <c r="B2" s="61" t="s">
        <v>3</v>
      </c>
      <c r="C2" s="63" t="s">
        <v>4</v>
      </c>
      <c r="D2" s="63" t="s">
        <v>5</v>
      </c>
      <c r="E2" s="63" t="s">
        <v>6</v>
      </c>
    </row>
    <row r="3">
      <c r="A3" s="117"/>
      <c r="B3" s="86" t="s">
        <v>621</v>
      </c>
      <c r="C3" s="137"/>
      <c r="D3" s="79" t="s">
        <v>1184</v>
      </c>
      <c r="E3" s="28">
        <v>2.0</v>
      </c>
      <c r="F3" s="138"/>
    </row>
    <row r="4">
      <c r="A4" s="117"/>
      <c r="B4" s="79" t="s">
        <v>765</v>
      </c>
      <c r="C4" s="137"/>
      <c r="D4" s="79" t="s">
        <v>985</v>
      </c>
      <c r="E4" s="28">
        <v>4.0</v>
      </c>
      <c r="F4" s="138"/>
    </row>
    <row r="5">
      <c r="A5" s="117"/>
      <c r="B5" s="86" t="s">
        <v>902</v>
      </c>
      <c r="C5" s="137"/>
      <c r="D5" s="86" t="s">
        <v>621</v>
      </c>
      <c r="E5" s="28">
        <v>2.0</v>
      </c>
      <c r="F5" s="45"/>
    </row>
    <row r="6">
      <c r="A6" s="117"/>
      <c r="B6" s="79" t="s">
        <v>765</v>
      </c>
      <c r="C6" s="137"/>
      <c r="D6" s="79" t="s">
        <v>1184</v>
      </c>
      <c r="E6" s="28">
        <v>4.0</v>
      </c>
      <c r="F6" s="138"/>
    </row>
    <row r="7">
      <c r="A7" s="117"/>
      <c r="B7" s="86" t="s">
        <v>902</v>
      </c>
      <c r="C7" s="137"/>
      <c r="D7" s="79" t="s">
        <v>985</v>
      </c>
      <c r="E7" s="28">
        <v>2.0</v>
      </c>
      <c r="F7" s="138"/>
    </row>
    <row r="8">
      <c r="A8" s="117"/>
      <c r="B8" s="79" t="s">
        <v>765</v>
      </c>
      <c r="C8" s="137"/>
      <c r="D8" s="86" t="s">
        <v>621</v>
      </c>
      <c r="E8" s="28">
        <v>4.0</v>
      </c>
      <c r="F8" s="138"/>
    </row>
    <row r="9">
      <c r="A9" s="117"/>
      <c r="B9" s="86" t="s">
        <v>902</v>
      </c>
      <c r="C9" s="137"/>
      <c r="D9" s="79" t="s">
        <v>1184</v>
      </c>
      <c r="E9" s="28">
        <v>2.0</v>
      </c>
      <c r="F9" s="138"/>
    </row>
    <row r="10">
      <c r="A10" s="117"/>
      <c r="B10" s="79" t="s">
        <v>985</v>
      </c>
      <c r="C10" s="137"/>
      <c r="D10" s="86" t="s">
        <v>621</v>
      </c>
      <c r="E10" s="28">
        <v>4.0</v>
      </c>
      <c r="F10" s="138"/>
      <c r="G10" s="57"/>
      <c r="H10" s="57"/>
      <c r="I10" s="57"/>
      <c r="J10" s="57"/>
    </row>
    <row r="11">
      <c r="A11" s="117"/>
      <c r="B11" s="86" t="s">
        <v>902</v>
      </c>
      <c r="C11" s="137"/>
      <c r="D11" s="79" t="s">
        <v>765</v>
      </c>
      <c r="E11" s="28">
        <v>2.0</v>
      </c>
      <c r="F11" s="138"/>
      <c r="G11" s="57"/>
      <c r="H11" s="57"/>
      <c r="I11" s="57"/>
      <c r="J11" s="57"/>
    </row>
    <row r="12">
      <c r="A12" s="117"/>
      <c r="B12" s="79" t="s">
        <v>985</v>
      </c>
      <c r="C12" s="137"/>
      <c r="D12" s="79" t="s">
        <v>1184</v>
      </c>
      <c r="E12" s="28">
        <v>4.0</v>
      </c>
      <c r="F12" s="138"/>
      <c r="G12" s="57"/>
      <c r="H12" s="57"/>
      <c r="I12" s="57"/>
      <c r="J12" s="57"/>
    </row>
    <row r="13">
      <c r="A13" s="117"/>
      <c r="B13" s="79" t="s">
        <v>1184</v>
      </c>
      <c r="C13" s="137"/>
      <c r="D13" s="86" t="s">
        <v>621</v>
      </c>
      <c r="E13" s="28">
        <v>2.0</v>
      </c>
      <c r="F13" s="138"/>
      <c r="G13" s="139"/>
    </row>
    <row r="14">
      <c r="A14" s="117"/>
      <c r="B14" s="79" t="s">
        <v>985</v>
      </c>
      <c r="C14" s="137"/>
      <c r="D14" s="79" t="s">
        <v>765</v>
      </c>
      <c r="E14" s="28">
        <v>4.0</v>
      </c>
      <c r="F14" s="138"/>
      <c r="G14" s="139"/>
    </row>
    <row r="15">
      <c r="A15" s="117"/>
      <c r="B15" s="86" t="s">
        <v>621</v>
      </c>
      <c r="C15" s="140"/>
      <c r="D15" s="86" t="s">
        <v>902</v>
      </c>
      <c r="E15" s="28">
        <v>2.0</v>
      </c>
      <c r="F15" s="138"/>
      <c r="G15" s="139"/>
    </row>
    <row r="16">
      <c r="A16" s="117"/>
      <c r="B16" s="79" t="s">
        <v>1184</v>
      </c>
      <c r="C16" s="140"/>
      <c r="D16" s="79" t="s">
        <v>765</v>
      </c>
      <c r="E16" s="28">
        <v>4.0</v>
      </c>
      <c r="F16" s="138"/>
      <c r="G16" s="139"/>
    </row>
    <row r="17">
      <c r="A17" s="117"/>
      <c r="B17" s="79" t="s">
        <v>985</v>
      </c>
      <c r="C17" s="140"/>
      <c r="D17" s="86" t="s">
        <v>902</v>
      </c>
      <c r="E17" s="28">
        <v>2.0</v>
      </c>
      <c r="F17" s="138"/>
    </row>
    <row r="18">
      <c r="A18" s="117"/>
      <c r="B18" s="86" t="s">
        <v>621</v>
      </c>
      <c r="C18" s="140"/>
      <c r="D18" s="79" t="s">
        <v>765</v>
      </c>
      <c r="E18" s="28">
        <v>4.0</v>
      </c>
      <c r="F18" s="138"/>
    </row>
    <row r="19">
      <c r="A19" s="117"/>
      <c r="B19" s="79" t="s">
        <v>1184</v>
      </c>
      <c r="C19" s="140"/>
      <c r="D19" s="86" t="s">
        <v>902</v>
      </c>
      <c r="E19" s="28">
        <v>2.0</v>
      </c>
      <c r="F19" s="138"/>
    </row>
    <row r="20">
      <c r="A20" s="117"/>
      <c r="B20" s="86" t="s">
        <v>621</v>
      </c>
      <c r="C20" s="140"/>
      <c r="D20" s="79" t="s">
        <v>985</v>
      </c>
      <c r="E20" s="28">
        <v>4.0</v>
      </c>
      <c r="F20" s="138"/>
    </row>
    <row r="21">
      <c r="A21" s="117"/>
      <c r="B21" s="79" t="s">
        <v>765</v>
      </c>
      <c r="C21" s="140"/>
      <c r="D21" s="86" t="s">
        <v>902</v>
      </c>
      <c r="E21" s="28">
        <v>2.0</v>
      </c>
      <c r="F21" s="138"/>
    </row>
    <row r="22">
      <c r="A22" s="117"/>
      <c r="B22" s="79" t="s">
        <v>1184</v>
      </c>
      <c r="C22" s="140"/>
      <c r="D22" s="79" t="s">
        <v>985</v>
      </c>
      <c r="E22" s="28">
        <v>4.0</v>
      </c>
      <c r="F22" s="138"/>
    </row>
    <row r="23">
      <c r="A23" s="117"/>
      <c r="B23" s="77" t="s">
        <v>64</v>
      </c>
      <c r="C23" s="59"/>
      <c r="D23" s="60"/>
      <c r="E23" s="141"/>
    </row>
    <row r="24">
      <c r="A24" s="117"/>
      <c r="B24" s="61" t="s">
        <v>3</v>
      </c>
      <c r="C24" s="63" t="s">
        <v>4</v>
      </c>
      <c r="D24" s="63" t="s">
        <v>5</v>
      </c>
      <c r="E24" s="63" t="s">
        <v>6</v>
      </c>
    </row>
    <row r="25">
      <c r="A25" s="117"/>
      <c r="B25" s="142" t="s">
        <v>783</v>
      </c>
      <c r="C25" s="8"/>
      <c r="D25" s="142" t="s">
        <v>1191</v>
      </c>
      <c r="E25" s="28">
        <v>2.0</v>
      </c>
      <c r="G25" s="45"/>
      <c r="H25" s="56"/>
      <c r="I25" s="45"/>
    </row>
    <row r="26">
      <c r="A26" s="117"/>
      <c r="B26" s="142" t="s">
        <v>542</v>
      </c>
      <c r="C26" s="8"/>
      <c r="D26" s="142" t="s">
        <v>1193</v>
      </c>
      <c r="E26" s="28">
        <v>4.0</v>
      </c>
      <c r="G26" s="45"/>
      <c r="H26" s="119"/>
      <c r="I26" s="45"/>
    </row>
    <row r="27">
      <c r="A27" s="117"/>
      <c r="B27" s="142" t="s">
        <v>1194</v>
      </c>
      <c r="C27" s="8"/>
      <c r="D27" s="142" t="s">
        <v>783</v>
      </c>
      <c r="E27" s="28">
        <v>2.0</v>
      </c>
      <c r="G27" s="45"/>
      <c r="H27" s="119"/>
      <c r="I27" s="45"/>
    </row>
    <row r="28">
      <c r="A28" s="117"/>
      <c r="B28" s="142" t="s">
        <v>542</v>
      </c>
      <c r="C28" s="8"/>
      <c r="D28" s="142" t="s">
        <v>1191</v>
      </c>
      <c r="E28" s="28">
        <v>4.0</v>
      </c>
      <c r="G28" s="45"/>
      <c r="H28" s="56"/>
      <c r="I28" s="45"/>
    </row>
    <row r="29">
      <c r="A29" s="117"/>
      <c r="B29" s="142" t="s">
        <v>1194</v>
      </c>
      <c r="C29" s="8"/>
      <c r="D29" s="142" t="s">
        <v>1193</v>
      </c>
      <c r="E29" s="28">
        <v>2.0</v>
      </c>
      <c r="G29" s="45"/>
      <c r="H29" s="119"/>
      <c r="I29" s="45"/>
    </row>
    <row r="30">
      <c r="A30" s="117"/>
      <c r="B30" s="142" t="s">
        <v>542</v>
      </c>
      <c r="C30" s="8"/>
      <c r="D30" s="142" t="s">
        <v>783</v>
      </c>
      <c r="E30" s="28">
        <v>4.0</v>
      </c>
      <c r="G30" s="45"/>
      <c r="H30" s="119"/>
      <c r="I30" s="45"/>
    </row>
    <row r="31">
      <c r="A31" s="117"/>
      <c r="B31" s="142" t="s">
        <v>1194</v>
      </c>
      <c r="C31" s="8"/>
      <c r="D31" s="142" t="s">
        <v>1191</v>
      </c>
      <c r="E31" s="28">
        <v>2.0</v>
      </c>
      <c r="G31" s="45"/>
      <c r="H31" s="119"/>
      <c r="I31" s="45"/>
    </row>
    <row r="32">
      <c r="A32" s="117"/>
      <c r="B32" s="142" t="s">
        <v>1193</v>
      </c>
      <c r="C32" s="8"/>
      <c r="D32" s="142" t="s">
        <v>783</v>
      </c>
      <c r="E32" s="28">
        <v>4.0</v>
      </c>
      <c r="G32" s="45"/>
      <c r="H32" s="119"/>
      <c r="I32" s="45"/>
    </row>
    <row r="33">
      <c r="A33" s="117"/>
      <c r="B33" s="142" t="s">
        <v>1194</v>
      </c>
      <c r="C33" s="8"/>
      <c r="D33" s="142" t="s">
        <v>542</v>
      </c>
      <c r="E33" s="28">
        <v>2.0</v>
      </c>
      <c r="G33" s="45"/>
      <c r="H33" s="119"/>
      <c r="I33" s="45"/>
    </row>
    <row r="34">
      <c r="A34" s="117"/>
      <c r="B34" s="142" t="s">
        <v>1193</v>
      </c>
      <c r="C34" s="8"/>
      <c r="D34" s="142" t="s">
        <v>1191</v>
      </c>
      <c r="E34" s="28">
        <v>4.0</v>
      </c>
      <c r="G34" s="45"/>
      <c r="H34" s="119"/>
      <c r="I34" s="45"/>
    </row>
    <row r="35">
      <c r="A35" s="117"/>
      <c r="B35" s="142" t="s">
        <v>1191</v>
      </c>
      <c r="C35" s="8"/>
      <c r="D35" s="142" t="s">
        <v>783</v>
      </c>
      <c r="E35" s="28">
        <v>2.0</v>
      </c>
      <c r="G35" s="45"/>
      <c r="H35" s="119"/>
      <c r="I35" s="45"/>
    </row>
    <row r="36">
      <c r="A36" s="117"/>
      <c r="B36" s="142" t="s">
        <v>1193</v>
      </c>
      <c r="C36" s="8"/>
      <c r="D36" s="142" t="s">
        <v>542</v>
      </c>
      <c r="E36" s="28">
        <v>4.0</v>
      </c>
      <c r="G36" s="45"/>
      <c r="H36" s="119"/>
      <c r="I36" s="45"/>
    </row>
    <row r="37">
      <c r="A37" s="117"/>
      <c r="B37" s="142" t="s">
        <v>783</v>
      </c>
      <c r="C37" s="8"/>
      <c r="D37" s="142" t="s">
        <v>1194</v>
      </c>
      <c r="E37" s="28">
        <v>2.0</v>
      </c>
      <c r="G37" s="45"/>
      <c r="H37" s="56"/>
      <c r="I37" s="45"/>
    </row>
    <row r="38">
      <c r="A38" s="117"/>
      <c r="B38" s="142" t="s">
        <v>1191</v>
      </c>
      <c r="C38" s="8"/>
      <c r="D38" s="142" t="s">
        <v>542</v>
      </c>
      <c r="E38" s="28">
        <v>4.0</v>
      </c>
      <c r="G38" s="45"/>
      <c r="H38" s="56"/>
      <c r="I38" s="45"/>
    </row>
    <row r="39">
      <c r="A39" s="117"/>
      <c r="B39" s="142" t="s">
        <v>1193</v>
      </c>
      <c r="C39" s="8"/>
      <c r="D39" s="142" t="s">
        <v>1194</v>
      </c>
      <c r="E39" s="28">
        <v>2.0</v>
      </c>
      <c r="G39" s="45"/>
      <c r="H39" s="56"/>
      <c r="I39" s="45"/>
    </row>
    <row r="40">
      <c r="A40" s="117"/>
      <c r="B40" s="142" t="s">
        <v>783</v>
      </c>
      <c r="C40" s="8"/>
      <c r="D40" s="142" t="s">
        <v>542</v>
      </c>
      <c r="E40" s="28">
        <v>4.0</v>
      </c>
      <c r="G40" s="45"/>
      <c r="H40" s="56"/>
      <c r="I40" s="45"/>
    </row>
    <row r="41">
      <c r="A41" s="117"/>
      <c r="B41" s="142" t="s">
        <v>1191</v>
      </c>
      <c r="C41" s="8"/>
      <c r="D41" s="142" t="s">
        <v>1194</v>
      </c>
      <c r="E41" s="28">
        <v>2.0</v>
      </c>
      <c r="G41" s="45"/>
      <c r="H41" s="56"/>
      <c r="I41" s="45"/>
    </row>
    <row r="42">
      <c r="A42" s="117"/>
      <c r="B42" s="142" t="s">
        <v>783</v>
      </c>
      <c r="C42" s="8"/>
      <c r="D42" s="142" t="s">
        <v>1193</v>
      </c>
      <c r="E42" s="28">
        <v>4.0</v>
      </c>
      <c r="G42" s="45"/>
      <c r="H42" s="56"/>
      <c r="I42" s="45"/>
    </row>
    <row r="43">
      <c r="A43" s="117"/>
      <c r="B43" s="142" t="s">
        <v>542</v>
      </c>
      <c r="C43" s="8"/>
      <c r="D43" s="142" t="s">
        <v>1194</v>
      </c>
      <c r="E43" s="28">
        <v>2.0</v>
      </c>
      <c r="G43" s="45"/>
      <c r="H43" s="56"/>
      <c r="I43" s="45"/>
    </row>
    <row r="44">
      <c r="A44" s="117"/>
      <c r="B44" s="142" t="s">
        <v>1191</v>
      </c>
      <c r="C44" s="8"/>
      <c r="D44" s="142" t="s">
        <v>1193</v>
      </c>
      <c r="E44" s="28">
        <v>4.0</v>
      </c>
      <c r="G44" s="45"/>
      <c r="H44" s="56"/>
      <c r="I44" s="45"/>
    </row>
    <row r="45">
      <c r="A45" s="29"/>
      <c r="B45" s="77" t="s">
        <v>112</v>
      </c>
      <c r="C45" s="59"/>
      <c r="D45" s="60"/>
      <c r="E45" s="141"/>
    </row>
    <row r="46">
      <c r="A46" s="29"/>
      <c r="B46" s="61" t="s">
        <v>3</v>
      </c>
      <c r="C46" s="63" t="s">
        <v>4</v>
      </c>
      <c r="D46" s="63" t="s">
        <v>5</v>
      </c>
      <c r="E46" s="63" t="s">
        <v>6</v>
      </c>
    </row>
    <row r="47">
      <c r="A47" s="29"/>
      <c r="B47" s="142" t="s">
        <v>1199</v>
      </c>
      <c r="C47" s="11"/>
      <c r="D47" s="28" t="s">
        <v>1042</v>
      </c>
      <c r="E47" s="28">
        <v>2.0</v>
      </c>
    </row>
    <row r="48">
      <c r="A48" s="29"/>
      <c r="B48" s="142" t="s">
        <v>1200</v>
      </c>
      <c r="C48" s="11"/>
      <c r="D48" s="28" t="s">
        <v>1201</v>
      </c>
      <c r="E48" s="28">
        <v>4.0</v>
      </c>
    </row>
    <row r="49">
      <c r="A49" s="29"/>
      <c r="B49" s="142" t="s">
        <v>587</v>
      </c>
      <c r="C49" s="11"/>
      <c r="D49" s="142" t="s">
        <v>1199</v>
      </c>
      <c r="E49" s="28">
        <v>2.0</v>
      </c>
    </row>
    <row r="50">
      <c r="A50" s="29"/>
      <c r="B50" s="142" t="s">
        <v>1200</v>
      </c>
      <c r="C50" s="11"/>
      <c r="D50" s="28" t="s">
        <v>1042</v>
      </c>
      <c r="E50" s="28">
        <v>4.0</v>
      </c>
    </row>
    <row r="51">
      <c r="A51" s="29"/>
      <c r="B51" s="142" t="s">
        <v>587</v>
      </c>
      <c r="C51" s="11"/>
      <c r="D51" s="28" t="s">
        <v>1201</v>
      </c>
      <c r="E51" s="28">
        <v>2.0</v>
      </c>
    </row>
    <row r="52">
      <c r="A52" s="29"/>
      <c r="B52" s="142" t="s">
        <v>1200</v>
      </c>
      <c r="C52" s="11"/>
      <c r="D52" s="142" t="s">
        <v>1199</v>
      </c>
      <c r="E52" s="28">
        <v>4.0</v>
      </c>
    </row>
    <row r="53">
      <c r="A53" s="29"/>
      <c r="B53" s="142" t="s">
        <v>587</v>
      </c>
      <c r="C53" s="11"/>
      <c r="D53" s="28" t="s">
        <v>1042</v>
      </c>
      <c r="E53" s="28">
        <v>2.0</v>
      </c>
    </row>
    <row r="54">
      <c r="A54" s="29"/>
      <c r="B54" s="142" t="s">
        <v>1201</v>
      </c>
      <c r="C54" s="11"/>
      <c r="D54" s="142" t="s">
        <v>1199</v>
      </c>
      <c r="E54" s="28">
        <v>4.0</v>
      </c>
    </row>
    <row r="55">
      <c r="A55" s="29"/>
      <c r="B55" s="142" t="s">
        <v>587</v>
      </c>
      <c r="C55" s="11"/>
      <c r="D55" s="28" t="s">
        <v>1200</v>
      </c>
      <c r="E55" s="28">
        <v>2.0</v>
      </c>
    </row>
    <row r="56">
      <c r="A56" s="29"/>
      <c r="B56" s="142" t="s">
        <v>1201</v>
      </c>
      <c r="C56" s="11"/>
      <c r="D56" s="28" t="s">
        <v>1042</v>
      </c>
      <c r="E56" s="28">
        <v>4.0</v>
      </c>
    </row>
    <row r="57">
      <c r="A57" s="29"/>
      <c r="B57" s="142" t="s">
        <v>1042</v>
      </c>
      <c r="C57" s="11"/>
      <c r="D57" s="142" t="s">
        <v>1199</v>
      </c>
      <c r="E57" s="28">
        <v>2.0</v>
      </c>
    </row>
    <row r="58">
      <c r="A58" s="29"/>
      <c r="B58" s="142" t="s">
        <v>1201</v>
      </c>
      <c r="C58" s="11"/>
      <c r="D58" s="28" t="s">
        <v>1200</v>
      </c>
      <c r="E58" s="28">
        <v>4.0</v>
      </c>
    </row>
    <row r="59">
      <c r="A59" s="29"/>
      <c r="B59" s="142" t="s">
        <v>1199</v>
      </c>
      <c r="C59" s="8"/>
      <c r="D59" s="28" t="s">
        <v>587</v>
      </c>
      <c r="E59" s="28">
        <v>2.0</v>
      </c>
    </row>
    <row r="60">
      <c r="A60" s="29"/>
      <c r="B60" s="142" t="s">
        <v>1042</v>
      </c>
      <c r="C60" s="8"/>
      <c r="D60" s="28" t="s">
        <v>1200</v>
      </c>
      <c r="E60" s="28">
        <v>4.0</v>
      </c>
    </row>
    <row r="61">
      <c r="A61" s="29"/>
      <c r="B61" s="142" t="s">
        <v>1201</v>
      </c>
      <c r="C61" s="8"/>
      <c r="D61" s="28" t="s">
        <v>587</v>
      </c>
      <c r="E61" s="28">
        <v>2.0</v>
      </c>
    </row>
    <row r="62">
      <c r="A62" s="29"/>
      <c r="B62" s="142" t="s">
        <v>1199</v>
      </c>
      <c r="C62" s="8"/>
      <c r="D62" s="28" t="s">
        <v>1200</v>
      </c>
      <c r="E62" s="28">
        <v>4.0</v>
      </c>
    </row>
    <row r="63">
      <c r="A63" s="29"/>
      <c r="B63" s="142" t="s">
        <v>1042</v>
      </c>
      <c r="C63" s="8"/>
      <c r="D63" s="28" t="s">
        <v>587</v>
      </c>
      <c r="E63" s="28">
        <v>2.0</v>
      </c>
    </row>
    <row r="64">
      <c r="A64" s="29"/>
      <c r="B64" s="142" t="s">
        <v>1199</v>
      </c>
      <c r="C64" s="8"/>
      <c r="D64" s="28" t="s">
        <v>1201</v>
      </c>
      <c r="E64" s="28">
        <v>4.0</v>
      </c>
    </row>
    <row r="65">
      <c r="A65" s="29"/>
      <c r="B65" s="142" t="s">
        <v>1200</v>
      </c>
      <c r="C65" s="8"/>
      <c r="D65" s="28" t="s">
        <v>587</v>
      </c>
      <c r="E65" s="28">
        <v>2.0</v>
      </c>
    </row>
    <row r="66">
      <c r="A66" s="29"/>
      <c r="B66" s="142" t="s">
        <v>1042</v>
      </c>
      <c r="C66" s="8"/>
      <c r="D66" s="28" t="s">
        <v>1201</v>
      </c>
      <c r="E66" s="28">
        <v>4.0</v>
      </c>
    </row>
    <row r="67">
      <c r="A67" s="29"/>
      <c r="B67" s="77" t="s">
        <v>386</v>
      </c>
      <c r="C67" s="59"/>
      <c r="D67" s="60"/>
      <c r="E67" s="141"/>
    </row>
    <row r="68">
      <c r="A68" s="29"/>
      <c r="B68" s="61" t="s">
        <v>3</v>
      </c>
      <c r="C68" s="63" t="s">
        <v>4</v>
      </c>
      <c r="D68" s="63" t="s">
        <v>5</v>
      </c>
      <c r="E68" s="63" t="s">
        <v>6</v>
      </c>
    </row>
    <row r="69">
      <c r="A69" s="29"/>
      <c r="B69" s="142" t="s">
        <v>9</v>
      </c>
      <c r="C69" s="11"/>
      <c r="D69" s="28" t="s">
        <v>1205</v>
      </c>
      <c r="E69" s="28">
        <v>2.0</v>
      </c>
    </row>
    <row r="70">
      <c r="A70" s="29"/>
      <c r="B70" s="142" t="s">
        <v>1206</v>
      </c>
      <c r="C70" s="11"/>
      <c r="D70" s="28" t="s">
        <v>1207</v>
      </c>
      <c r="E70" s="28">
        <v>4.0</v>
      </c>
    </row>
    <row r="71">
      <c r="A71" s="29"/>
      <c r="B71" s="142" t="s">
        <v>25</v>
      </c>
      <c r="C71" s="11"/>
      <c r="D71" s="142" t="s">
        <v>9</v>
      </c>
      <c r="E71" s="28">
        <v>2.0</v>
      </c>
    </row>
    <row r="72">
      <c r="A72" s="29"/>
      <c r="B72" s="142" t="s">
        <v>1206</v>
      </c>
      <c r="C72" s="11"/>
      <c r="D72" s="28" t="s">
        <v>1205</v>
      </c>
      <c r="E72" s="28">
        <v>4.0</v>
      </c>
    </row>
    <row r="73">
      <c r="A73" s="29"/>
      <c r="B73" s="142" t="s">
        <v>25</v>
      </c>
      <c r="C73" s="11"/>
      <c r="D73" s="28" t="s">
        <v>1207</v>
      </c>
      <c r="E73" s="28">
        <v>2.0</v>
      </c>
    </row>
    <row r="74">
      <c r="A74" s="29"/>
      <c r="B74" s="142" t="s">
        <v>1206</v>
      </c>
      <c r="C74" s="11"/>
      <c r="D74" s="142" t="s">
        <v>9</v>
      </c>
      <c r="E74" s="28">
        <v>4.0</v>
      </c>
    </row>
    <row r="75">
      <c r="A75" s="29"/>
      <c r="B75" s="142" t="s">
        <v>25</v>
      </c>
      <c r="C75" s="11"/>
      <c r="D75" s="28" t="s">
        <v>1205</v>
      </c>
      <c r="E75" s="28">
        <v>2.0</v>
      </c>
    </row>
    <row r="76">
      <c r="A76" s="29"/>
      <c r="B76" s="142" t="s">
        <v>1207</v>
      </c>
      <c r="C76" s="11"/>
      <c r="D76" s="142" t="s">
        <v>9</v>
      </c>
      <c r="E76" s="28">
        <v>4.0</v>
      </c>
    </row>
    <row r="77">
      <c r="A77" s="29"/>
      <c r="B77" s="142" t="s">
        <v>25</v>
      </c>
      <c r="C77" s="11"/>
      <c r="D77" s="28" t="s">
        <v>1206</v>
      </c>
      <c r="E77" s="28">
        <v>2.0</v>
      </c>
    </row>
    <row r="78">
      <c r="A78" s="29"/>
      <c r="B78" s="142" t="s">
        <v>1207</v>
      </c>
      <c r="C78" s="11"/>
      <c r="D78" s="28" t="s">
        <v>1205</v>
      </c>
      <c r="E78" s="28">
        <v>4.0</v>
      </c>
    </row>
    <row r="79">
      <c r="A79" s="29"/>
      <c r="B79" s="142" t="s">
        <v>1205</v>
      </c>
      <c r="C79" s="11"/>
      <c r="D79" s="142" t="s">
        <v>9</v>
      </c>
      <c r="E79" s="28">
        <v>2.0</v>
      </c>
    </row>
    <row r="80">
      <c r="A80" s="29"/>
      <c r="B80" s="142" t="s">
        <v>1207</v>
      </c>
      <c r="C80" s="11"/>
      <c r="D80" s="28" t="s">
        <v>1206</v>
      </c>
      <c r="E80" s="28">
        <v>4.0</v>
      </c>
    </row>
    <row r="81">
      <c r="A81" s="29"/>
      <c r="B81" s="142" t="s">
        <v>9</v>
      </c>
      <c r="C81" s="8"/>
      <c r="D81" s="28" t="s">
        <v>25</v>
      </c>
      <c r="E81" s="28">
        <v>2.0</v>
      </c>
    </row>
    <row r="82">
      <c r="A82" s="29"/>
      <c r="B82" s="142" t="s">
        <v>1205</v>
      </c>
      <c r="C82" s="8"/>
      <c r="D82" s="28" t="s">
        <v>1206</v>
      </c>
      <c r="E82" s="28">
        <v>4.0</v>
      </c>
    </row>
    <row r="83">
      <c r="A83" s="29"/>
      <c r="B83" s="142" t="s">
        <v>1207</v>
      </c>
      <c r="C83" s="8"/>
      <c r="D83" s="28" t="s">
        <v>25</v>
      </c>
      <c r="E83" s="28">
        <v>2.0</v>
      </c>
    </row>
    <row r="84">
      <c r="A84" s="29"/>
      <c r="B84" s="142" t="s">
        <v>9</v>
      </c>
      <c r="C84" s="8"/>
      <c r="D84" s="28" t="s">
        <v>1206</v>
      </c>
      <c r="E84" s="28">
        <v>4.0</v>
      </c>
    </row>
    <row r="85">
      <c r="A85" s="29"/>
      <c r="B85" s="142" t="s">
        <v>1205</v>
      </c>
      <c r="C85" s="8"/>
      <c r="D85" s="28" t="s">
        <v>25</v>
      </c>
      <c r="E85" s="28">
        <v>2.0</v>
      </c>
    </row>
    <row r="86">
      <c r="A86" s="29"/>
      <c r="B86" s="142" t="s">
        <v>9</v>
      </c>
      <c r="C86" s="8"/>
      <c r="D86" s="28" t="s">
        <v>1207</v>
      </c>
      <c r="E86" s="28">
        <v>4.0</v>
      </c>
    </row>
    <row r="87">
      <c r="A87" s="29"/>
      <c r="B87" s="142" t="s">
        <v>1206</v>
      </c>
      <c r="C87" s="8"/>
      <c r="D87" s="28" t="s">
        <v>25</v>
      </c>
      <c r="E87" s="28">
        <v>2.0</v>
      </c>
    </row>
    <row r="88">
      <c r="A88" s="29"/>
      <c r="B88" s="142" t="s">
        <v>1205</v>
      </c>
      <c r="C88" s="8"/>
      <c r="D88" s="28" t="s">
        <v>1207</v>
      </c>
      <c r="E88" s="28">
        <v>4.0</v>
      </c>
    </row>
    <row r="89">
      <c r="A89" s="29"/>
      <c r="B89" s="29"/>
      <c r="C89" s="29"/>
      <c r="D89" s="29"/>
      <c r="E89" s="29"/>
    </row>
    <row r="90">
      <c r="A90" s="29"/>
      <c r="B90" s="29"/>
      <c r="C90" s="29"/>
      <c r="D90" s="29"/>
      <c r="E90" s="29"/>
    </row>
    <row r="91">
      <c r="A91" s="29"/>
      <c r="B91" s="29"/>
      <c r="C91" s="29"/>
      <c r="D91" s="29"/>
      <c r="E91" s="29"/>
    </row>
    <row r="92">
      <c r="A92" s="29"/>
      <c r="B92" s="29"/>
      <c r="C92" s="29"/>
      <c r="D92" s="29"/>
      <c r="E92" s="29"/>
    </row>
    <row r="93">
      <c r="A93" s="29"/>
      <c r="B93" s="29"/>
      <c r="C93" s="29"/>
      <c r="D93" s="29"/>
      <c r="E93" s="29"/>
    </row>
    <row r="94">
      <c r="A94" s="29"/>
      <c r="B94" s="29"/>
      <c r="C94" s="29"/>
      <c r="D94" s="29"/>
      <c r="E94" s="29"/>
    </row>
    <row r="95">
      <c r="A95" s="29"/>
      <c r="B95" s="29"/>
      <c r="C95" s="29"/>
      <c r="D95" s="29"/>
      <c r="E95" s="29"/>
    </row>
    <row r="96">
      <c r="A96" s="29"/>
      <c r="B96" s="29"/>
      <c r="C96" s="29"/>
      <c r="D96" s="29"/>
      <c r="E96" s="29"/>
    </row>
    <row r="97">
      <c r="A97" s="29"/>
      <c r="B97" s="29"/>
      <c r="C97" s="29"/>
      <c r="D97" s="29"/>
      <c r="E97" s="29"/>
    </row>
    <row r="98">
      <c r="A98" s="29"/>
      <c r="B98" s="29"/>
      <c r="C98" s="29"/>
      <c r="D98" s="29"/>
      <c r="E98" s="29"/>
    </row>
    <row r="99">
      <c r="A99" s="29"/>
      <c r="B99" s="29"/>
      <c r="C99" s="29"/>
      <c r="D99" s="29"/>
      <c r="E99" s="29"/>
    </row>
    <row r="100">
      <c r="A100" s="29"/>
      <c r="B100" s="29"/>
      <c r="C100" s="29"/>
      <c r="D100" s="29"/>
      <c r="E100" s="29"/>
    </row>
    <row r="101">
      <c r="A101" s="29"/>
      <c r="B101" s="29"/>
      <c r="C101" s="29"/>
      <c r="D101" s="29"/>
      <c r="E101" s="29"/>
    </row>
    <row r="102">
      <c r="A102" s="29"/>
      <c r="B102" s="29"/>
      <c r="C102" s="29"/>
      <c r="D102" s="29"/>
      <c r="E102" s="29"/>
    </row>
    <row r="103">
      <c r="A103" s="29"/>
      <c r="B103" s="29"/>
      <c r="C103" s="29"/>
      <c r="D103" s="29"/>
      <c r="E103" s="29"/>
    </row>
    <row r="104">
      <c r="A104" s="29"/>
      <c r="B104" s="29"/>
      <c r="C104" s="29"/>
      <c r="D104" s="29"/>
      <c r="E104" s="29"/>
    </row>
    <row r="105">
      <c r="A105" s="29"/>
      <c r="B105" s="29"/>
      <c r="C105" s="29"/>
      <c r="D105" s="29"/>
      <c r="E105" s="29"/>
    </row>
    <row r="106">
      <c r="A106" s="29"/>
      <c r="B106" s="29"/>
      <c r="C106" s="29"/>
      <c r="D106" s="29"/>
      <c r="E106" s="29"/>
    </row>
    <row r="107">
      <c r="A107" s="29"/>
      <c r="B107" s="29"/>
      <c r="C107" s="29"/>
      <c r="D107" s="29"/>
      <c r="E107" s="29"/>
    </row>
    <row r="108">
      <c r="A108" s="29"/>
      <c r="B108" s="29"/>
      <c r="C108" s="29"/>
      <c r="D108" s="29"/>
      <c r="E108" s="29"/>
    </row>
    <row r="109">
      <c r="A109" s="29"/>
      <c r="B109" s="29"/>
      <c r="C109" s="29"/>
      <c r="D109" s="29"/>
      <c r="E109" s="29"/>
    </row>
    <row r="110">
      <c r="A110" s="29"/>
      <c r="B110" s="29"/>
      <c r="C110" s="29"/>
      <c r="D110" s="29"/>
      <c r="E110" s="29"/>
    </row>
    <row r="111">
      <c r="A111" s="29"/>
      <c r="B111" s="29"/>
      <c r="C111" s="29"/>
      <c r="D111" s="29"/>
      <c r="E111" s="29"/>
    </row>
    <row r="112">
      <c r="A112" s="29"/>
      <c r="B112" s="29"/>
      <c r="C112" s="29"/>
      <c r="D112" s="29"/>
      <c r="E112" s="29"/>
    </row>
    <row r="113">
      <c r="A113" s="29"/>
      <c r="B113" s="29"/>
      <c r="C113" s="29"/>
      <c r="D113" s="29"/>
      <c r="E113" s="29"/>
    </row>
    <row r="114">
      <c r="A114" s="29"/>
      <c r="B114" s="29"/>
      <c r="C114" s="29"/>
      <c r="D114" s="29"/>
      <c r="E114" s="29"/>
    </row>
    <row r="115">
      <c r="A115" s="29"/>
      <c r="B115" s="29"/>
      <c r="C115" s="29"/>
      <c r="D115" s="29"/>
      <c r="E115" s="29"/>
    </row>
    <row r="116">
      <c r="A116" s="29"/>
      <c r="B116" s="29"/>
      <c r="C116" s="29"/>
      <c r="D116" s="29"/>
      <c r="E116" s="29"/>
    </row>
    <row r="117">
      <c r="A117" s="29"/>
      <c r="B117" s="29"/>
      <c r="C117" s="29"/>
      <c r="D117" s="29"/>
      <c r="E117" s="29"/>
    </row>
    <row r="118">
      <c r="A118" s="29"/>
      <c r="B118" s="29"/>
      <c r="C118" s="29"/>
      <c r="D118" s="29"/>
      <c r="E118" s="29"/>
    </row>
    <row r="119">
      <c r="A119" s="29"/>
      <c r="B119" s="29"/>
      <c r="C119" s="29"/>
      <c r="D119" s="29"/>
      <c r="E119" s="29"/>
    </row>
    <row r="120">
      <c r="A120" s="29"/>
      <c r="B120" s="29"/>
      <c r="C120" s="29"/>
      <c r="D120" s="29"/>
      <c r="E120" s="29"/>
    </row>
    <row r="121">
      <c r="A121" s="29"/>
      <c r="B121" s="29"/>
      <c r="C121" s="29"/>
      <c r="D121" s="29"/>
      <c r="E121" s="29"/>
    </row>
    <row r="122">
      <c r="A122" s="29"/>
      <c r="B122" s="29"/>
      <c r="C122" s="29"/>
      <c r="D122" s="29"/>
      <c r="E122" s="29"/>
    </row>
    <row r="123">
      <c r="A123" s="29"/>
      <c r="B123" s="29"/>
      <c r="C123" s="29"/>
      <c r="D123" s="29"/>
      <c r="E123" s="29"/>
    </row>
    <row r="124">
      <c r="A124" s="29"/>
      <c r="B124" s="29"/>
      <c r="C124" s="29"/>
      <c r="D124" s="29"/>
      <c r="E124" s="29"/>
    </row>
    <row r="125">
      <c r="A125" s="29"/>
      <c r="B125" s="29"/>
      <c r="C125" s="29"/>
      <c r="D125" s="29"/>
      <c r="E125" s="29"/>
    </row>
    <row r="126">
      <c r="A126" s="29"/>
      <c r="B126" s="29"/>
      <c r="C126" s="29"/>
      <c r="D126" s="29"/>
      <c r="E126" s="29"/>
    </row>
    <row r="127">
      <c r="A127" s="29"/>
      <c r="B127" s="29"/>
      <c r="C127" s="29"/>
      <c r="D127" s="29"/>
      <c r="E127" s="29"/>
    </row>
    <row r="128">
      <c r="A128" s="29"/>
      <c r="B128" s="29"/>
      <c r="C128" s="29"/>
      <c r="D128" s="29"/>
      <c r="E128" s="29"/>
    </row>
    <row r="129">
      <c r="A129" s="29"/>
      <c r="B129" s="29"/>
      <c r="C129" s="29"/>
      <c r="D129" s="29"/>
      <c r="E129" s="29"/>
    </row>
    <row r="130">
      <c r="A130" s="29"/>
      <c r="B130" s="29"/>
      <c r="C130" s="29"/>
      <c r="D130" s="29"/>
      <c r="E130" s="29"/>
    </row>
    <row r="131">
      <c r="A131" s="29"/>
      <c r="B131" s="29"/>
      <c r="C131" s="29"/>
      <c r="D131" s="29"/>
      <c r="E131" s="29"/>
    </row>
    <row r="132">
      <c r="A132" s="29"/>
      <c r="B132" s="29"/>
      <c r="C132" s="29"/>
      <c r="D132" s="29"/>
      <c r="E132" s="29"/>
    </row>
    <row r="133">
      <c r="A133" s="29"/>
      <c r="B133" s="29"/>
      <c r="C133" s="29"/>
      <c r="D133" s="29"/>
      <c r="E133" s="29"/>
    </row>
    <row r="134">
      <c r="A134" s="29"/>
      <c r="B134" s="29"/>
      <c r="C134" s="29"/>
      <c r="D134" s="29"/>
      <c r="E134" s="29"/>
    </row>
    <row r="135">
      <c r="A135" s="29"/>
      <c r="B135" s="29"/>
      <c r="C135" s="29"/>
      <c r="D135" s="29"/>
      <c r="E135" s="29"/>
    </row>
    <row r="136">
      <c r="A136" s="29"/>
      <c r="B136" s="29"/>
      <c r="C136" s="29"/>
      <c r="D136" s="29"/>
      <c r="E136" s="29"/>
    </row>
    <row r="137">
      <c r="A137" s="29"/>
      <c r="B137" s="29"/>
      <c r="C137" s="29"/>
      <c r="D137" s="29"/>
      <c r="E137" s="29"/>
    </row>
    <row r="138">
      <c r="A138" s="29"/>
      <c r="B138" s="29"/>
      <c r="C138" s="29"/>
      <c r="D138" s="29"/>
      <c r="E138" s="29"/>
    </row>
    <row r="139">
      <c r="A139" s="29"/>
      <c r="B139" s="29"/>
      <c r="C139" s="29"/>
      <c r="D139" s="29"/>
      <c r="E139" s="29"/>
    </row>
    <row r="140">
      <c r="A140" s="29"/>
      <c r="B140" s="29"/>
      <c r="C140" s="29"/>
      <c r="D140" s="29"/>
      <c r="E140" s="29"/>
    </row>
    <row r="141">
      <c r="A141" s="29"/>
      <c r="B141" s="29"/>
      <c r="C141" s="29"/>
      <c r="D141" s="29"/>
      <c r="E141" s="29"/>
    </row>
    <row r="142">
      <c r="A142" s="29"/>
      <c r="B142" s="29"/>
      <c r="C142" s="29"/>
      <c r="D142" s="29"/>
      <c r="E142" s="29"/>
    </row>
    <row r="143">
      <c r="A143" s="29"/>
      <c r="B143" s="29"/>
      <c r="C143" s="29"/>
      <c r="D143" s="29"/>
      <c r="E143" s="29"/>
    </row>
    <row r="144">
      <c r="A144" s="29"/>
      <c r="B144" s="29"/>
      <c r="C144" s="29"/>
      <c r="D144" s="29"/>
      <c r="E144" s="29"/>
    </row>
    <row r="145">
      <c r="A145" s="29"/>
      <c r="B145" s="29"/>
      <c r="C145" s="29"/>
      <c r="D145" s="29"/>
      <c r="E145" s="29"/>
    </row>
    <row r="146">
      <c r="A146" s="29"/>
      <c r="B146" s="29"/>
      <c r="C146" s="29"/>
      <c r="D146" s="29"/>
      <c r="E146" s="29"/>
    </row>
    <row r="147">
      <c r="A147" s="29"/>
      <c r="B147" s="29"/>
      <c r="C147" s="29"/>
      <c r="D147" s="29"/>
      <c r="E147" s="29"/>
    </row>
    <row r="148">
      <c r="A148" s="29"/>
      <c r="B148" s="29"/>
      <c r="C148" s="29"/>
      <c r="D148" s="29"/>
      <c r="E148" s="29"/>
    </row>
    <row r="149">
      <c r="A149" s="29"/>
      <c r="B149" s="29"/>
      <c r="C149" s="29"/>
      <c r="D149" s="29"/>
      <c r="E149" s="29"/>
    </row>
    <row r="150">
      <c r="A150" s="29"/>
      <c r="B150" s="29"/>
      <c r="C150" s="29"/>
      <c r="D150" s="29"/>
      <c r="E150" s="29"/>
    </row>
    <row r="151">
      <c r="A151" s="29"/>
      <c r="B151" s="29"/>
      <c r="C151" s="29"/>
      <c r="D151" s="29"/>
      <c r="E151" s="29"/>
    </row>
    <row r="152">
      <c r="A152" s="29"/>
      <c r="B152" s="29"/>
      <c r="C152" s="29"/>
      <c r="D152" s="29"/>
      <c r="E152" s="29"/>
    </row>
    <row r="153">
      <c r="A153" s="29"/>
      <c r="B153" s="29"/>
      <c r="C153" s="29"/>
      <c r="D153" s="29"/>
      <c r="E153" s="29"/>
    </row>
    <row r="154">
      <c r="A154" s="29"/>
      <c r="B154" s="29"/>
      <c r="C154" s="29"/>
      <c r="D154" s="29"/>
      <c r="E154" s="29"/>
    </row>
    <row r="155">
      <c r="A155" s="29"/>
      <c r="B155" s="29"/>
      <c r="C155" s="29"/>
      <c r="D155" s="29"/>
      <c r="E155" s="29"/>
    </row>
    <row r="156">
      <c r="A156" s="29"/>
      <c r="B156" s="29"/>
      <c r="C156" s="29"/>
      <c r="D156" s="29"/>
      <c r="E156" s="29"/>
    </row>
    <row r="157">
      <c r="A157" s="29"/>
      <c r="B157" s="29"/>
      <c r="C157" s="29"/>
      <c r="D157" s="29"/>
      <c r="E157" s="29"/>
    </row>
    <row r="158">
      <c r="A158" s="29"/>
      <c r="B158" s="29"/>
      <c r="C158" s="29"/>
      <c r="D158" s="29"/>
      <c r="E158" s="29"/>
    </row>
    <row r="159">
      <c r="A159" s="29"/>
      <c r="B159" s="29"/>
      <c r="C159" s="29"/>
      <c r="D159" s="29"/>
      <c r="E159" s="29"/>
    </row>
    <row r="160">
      <c r="A160" s="29"/>
      <c r="B160" s="29"/>
      <c r="C160" s="29"/>
      <c r="D160" s="29"/>
      <c r="E160" s="29"/>
    </row>
    <row r="161">
      <c r="A161" s="29"/>
      <c r="B161" s="29"/>
      <c r="C161" s="29"/>
      <c r="D161" s="29"/>
      <c r="E161" s="29"/>
    </row>
    <row r="162">
      <c r="A162" s="29"/>
      <c r="B162" s="29"/>
      <c r="C162" s="29"/>
      <c r="D162" s="29"/>
      <c r="E162" s="29"/>
    </row>
    <row r="163">
      <c r="A163" s="29"/>
      <c r="B163" s="29"/>
      <c r="C163" s="29"/>
      <c r="D163" s="29"/>
      <c r="E163" s="29"/>
    </row>
    <row r="164">
      <c r="A164" s="29"/>
      <c r="B164" s="29"/>
      <c r="C164" s="29"/>
      <c r="D164" s="29"/>
      <c r="E164" s="29"/>
    </row>
    <row r="165">
      <c r="A165" s="29"/>
      <c r="B165" s="29"/>
      <c r="C165" s="29"/>
      <c r="D165" s="29"/>
      <c r="E165" s="29"/>
    </row>
    <row r="166">
      <c r="A166" s="29"/>
      <c r="B166" s="29"/>
      <c r="C166" s="29"/>
      <c r="D166" s="29"/>
      <c r="E166" s="29"/>
    </row>
    <row r="167">
      <c r="A167" s="29"/>
      <c r="B167" s="29"/>
      <c r="C167" s="29"/>
      <c r="D167" s="29"/>
      <c r="E167" s="29"/>
    </row>
    <row r="168">
      <c r="A168" s="29"/>
      <c r="B168" s="29"/>
      <c r="C168" s="29"/>
      <c r="D168" s="29"/>
      <c r="E168" s="29"/>
    </row>
    <row r="169">
      <c r="A169" s="29"/>
      <c r="B169" s="29"/>
      <c r="C169" s="29"/>
      <c r="D169" s="29"/>
      <c r="E169" s="29"/>
    </row>
    <row r="170">
      <c r="A170" s="29"/>
      <c r="B170" s="29"/>
      <c r="C170" s="29"/>
      <c r="D170" s="29"/>
      <c r="E170" s="29"/>
    </row>
    <row r="171">
      <c r="A171" s="29"/>
      <c r="B171" s="29"/>
      <c r="C171" s="29"/>
      <c r="D171" s="29"/>
      <c r="E171" s="29"/>
    </row>
    <row r="172">
      <c r="A172" s="29"/>
      <c r="B172" s="29"/>
      <c r="C172" s="29"/>
      <c r="D172" s="29"/>
      <c r="E172" s="29"/>
    </row>
    <row r="173">
      <c r="A173" s="29"/>
      <c r="B173" s="29"/>
      <c r="C173" s="29"/>
      <c r="D173" s="29"/>
      <c r="E173" s="29"/>
    </row>
    <row r="174">
      <c r="A174" s="29"/>
      <c r="B174" s="29"/>
      <c r="C174" s="29"/>
      <c r="D174" s="29"/>
      <c r="E174" s="29"/>
    </row>
    <row r="175">
      <c r="A175" s="29"/>
      <c r="B175" s="29"/>
      <c r="C175" s="29"/>
      <c r="D175" s="29"/>
      <c r="E175" s="29"/>
    </row>
    <row r="176">
      <c r="A176" s="29"/>
      <c r="B176" s="29"/>
      <c r="C176" s="29"/>
      <c r="D176" s="29"/>
      <c r="E176" s="29"/>
    </row>
    <row r="177">
      <c r="A177" s="29"/>
      <c r="B177" s="29"/>
      <c r="C177" s="29"/>
      <c r="D177" s="29"/>
      <c r="E177" s="29"/>
    </row>
    <row r="178">
      <c r="A178" s="29"/>
      <c r="B178" s="29"/>
      <c r="C178" s="29"/>
      <c r="D178" s="29"/>
      <c r="E178" s="29"/>
    </row>
    <row r="179">
      <c r="A179" s="29"/>
      <c r="B179" s="29"/>
      <c r="C179" s="29"/>
      <c r="D179" s="29"/>
      <c r="E179" s="29"/>
    </row>
    <row r="180">
      <c r="A180" s="29"/>
      <c r="B180" s="29"/>
      <c r="C180" s="29"/>
      <c r="D180" s="29"/>
      <c r="E180" s="29"/>
    </row>
    <row r="181">
      <c r="A181" s="29"/>
      <c r="B181" s="29"/>
      <c r="C181" s="29"/>
      <c r="D181" s="29"/>
      <c r="E181" s="29"/>
    </row>
    <row r="182">
      <c r="A182" s="29"/>
      <c r="B182" s="29"/>
      <c r="C182" s="29"/>
      <c r="D182" s="29"/>
      <c r="E182" s="29"/>
    </row>
    <row r="183">
      <c r="A183" s="29"/>
      <c r="B183" s="29"/>
      <c r="C183" s="29"/>
      <c r="D183" s="29"/>
      <c r="E183" s="29"/>
    </row>
    <row r="184">
      <c r="A184" s="29"/>
      <c r="B184" s="29"/>
      <c r="C184" s="29"/>
      <c r="D184" s="29"/>
      <c r="E184" s="29"/>
    </row>
    <row r="185">
      <c r="A185" s="29"/>
      <c r="B185" s="29"/>
      <c r="C185" s="29"/>
      <c r="D185" s="29"/>
      <c r="E185" s="29"/>
    </row>
    <row r="186">
      <c r="A186" s="29"/>
      <c r="B186" s="29"/>
      <c r="C186" s="29"/>
      <c r="D186" s="29"/>
      <c r="E186" s="29"/>
    </row>
    <row r="187">
      <c r="A187" s="29"/>
      <c r="B187" s="29"/>
      <c r="C187" s="29"/>
      <c r="D187" s="29"/>
      <c r="E187" s="29"/>
    </row>
    <row r="188">
      <c r="A188" s="29"/>
      <c r="B188" s="29"/>
      <c r="C188" s="29"/>
      <c r="D188" s="29"/>
      <c r="E188" s="29"/>
    </row>
    <row r="189">
      <c r="A189" s="29"/>
      <c r="B189" s="29"/>
      <c r="C189" s="29"/>
      <c r="D189" s="29"/>
      <c r="E189" s="29"/>
    </row>
    <row r="190">
      <c r="A190" s="29"/>
      <c r="B190" s="29"/>
      <c r="C190" s="29"/>
      <c r="D190" s="29"/>
      <c r="E190" s="29"/>
    </row>
    <row r="191">
      <c r="A191" s="29"/>
      <c r="B191" s="29"/>
      <c r="C191" s="29"/>
      <c r="D191" s="29"/>
      <c r="E191" s="29"/>
    </row>
    <row r="192">
      <c r="A192" s="29"/>
      <c r="B192" s="29"/>
      <c r="C192" s="29"/>
      <c r="D192" s="29"/>
      <c r="E192" s="29"/>
    </row>
    <row r="193">
      <c r="A193" s="29"/>
      <c r="B193" s="29"/>
      <c r="C193" s="29"/>
      <c r="D193" s="29"/>
      <c r="E193" s="29"/>
    </row>
    <row r="194">
      <c r="A194" s="29"/>
      <c r="B194" s="29"/>
      <c r="C194" s="29"/>
      <c r="D194" s="29"/>
      <c r="E194" s="29"/>
    </row>
    <row r="195">
      <c r="A195" s="29"/>
      <c r="B195" s="29"/>
      <c r="C195" s="29"/>
      <c r="D195" s="29"/>
      <c r="E195" s="29"/>
    </row>
    <row r="196">
      <c r="A196" s="29"/>
      <c r="B196" s="29"/>
      <c r="C196" s="29"/>
      <c r="D196" s="29"/>
      <c r="E196" s="29"/>
    </row>
    <row r="197">
      <c r="A197" s="29"/>
      <c r="B197" s="29"/>
      <c r="C197" s="29"/>
      <c r="D197" s="29"/>
      <c r="E197" s="29"/>
    </row>
    <row r="198">
      <c r="A198" s="29"/>
      <c r="B198" s="29"/>
      <c r="C198" s="29"/>
      <c r="D198" s="29"/>
      <c r="E198" s="29"/>
    </row>
    <row r="199">
      <c r="A199" s="29"/>
      <c r="B199" s="29"/>
      <c r="C199" s="29"/>
      <c r="D199" s="29"/>
      <c r="E199" s="29"/>
    </row>
    <row r="200">
      <c r="A200" s="29"/>
      <c r="B200" s="29"/>
      <c r="C200" s="29"/>
      <c r="D200" s="29"/>
      <c r="E200" s="29"/>
    </row>
    <row r="201">
      <c r="A201" s="29"/>
      <c r="B201" s="29"/>
      <c r="C201" s="29"/>
      <c r="D201" s="29"/>
      <c r="E201" s="29"/>
    </row>
    <row r="202">
      <c r="A202" s="29"/>
      <c r="B202" s="29"/>
      <c r="C202" s="29"/>
      <c r="D202" s="29"/>
      <c r="E202" s="29"/>
    </row>
    <row r="203">
      <c r="A203" s="29"/>
      <c r="B203" s="29"/>
      <c r="C203" s="29"/>
      <c r="D203" s="29"/>
      <c r="E203" s="29"/>
    </row>
    <row r="204">
      <c r="A204" s="29"/>
      <c r="B204" s="29"/>
      <c r="C204" s="29"/>
      <c r="D204" s="29"/>
      <c r="E204" s="29"/>
    </row>
    <row r="205">
      <c r="A205" s="29"/>
      <c r="B205" s="29"/>
      <c r="C205" s="29"/>
      <c r="D205" s="29"/>
      <c r="E205" s="29"/>
    </row>
    <row r="206">
      <c r="A206" s="29"/>
      <c r="B206" s="29"/>
      <c r="C206" s="29"/>
      <c r="D206" s="29"/>
      <c r="E206" s="29"/>
    </row>
    <row r="207">
      <c r="A207" s="29"/>
      <c r="B207" s="29"/>
      <c r="C207" s="29"/>
      <c r="D207" s="29"/>
      <c r="E207" s="29"/>
    </row>
    <row r="208">
      <c r="A208" s="29"/>
      <c r="B208" s="29"/>
      <c r="C208" s="29"/>
      <c r="D208" s="29"/>
      <c r="E208" s="29"/>
    </row>
    <row r="209">
      <c r="A209" s="29"/>
      <c r="B209" s="29"/>
      <c r="C209" s="29"/>
      <c r="D209" s="29"/>
      <c r="E209" s="29"/>
    </row>
    <row r="210">
      <c r="A210" s="29"/>
      <c r="B210" s="29"/>
      <c r="C210" s="29"/>
      <c r="D210" s="29"/>
      <c r="E210" s="29"/>
    </row>
    <row r="211">
      <c r="A211" s="29"/>
      <c r="B211" s="29"/>
      <c r="C211" s="29"/>
      <c r="D211" s="29"/>
      <c r="E211" s="29"/>
    </row>
    <row r="212">
      <c r="A212" s="29"/>
      <c r="B212" s="29"/>
      <c r="C212" s="29"/>
      <c r="D212" s="29"/>
      <c r="E212" s="29"/>
    </row>
    <row r="213">
      <c r="A213" s="29"/>
      <c r="B213" s="29"/>
      <c r="C213" s="29"/>
      <c r="D213" s="29"/>
      <c r="E213" s="29"/>
    </row>
    <row r="214">
      <c r="A214" s="29"/>
      <c r="B214" s="29"/>
      <c r="C214" s="29"/>
      <c r="D214" s="29"/>
      <c r="E214" s="29"/>
    </row>
    <row r="215">
      <c r="A215" s="29"/>
      <c r="B215" s="29"/>
      <c r="C215" s="29"/>
      <c r="D215" s="29"/>
      <c r="E215" s="29"/>
    </row>
    <row r="216">
      <c r="A216" s="29"/>
      <c r="B216" s="29"/>
      <c r="C216" s="29"/>
      <c r="D216" s="29"/>
      <c r="E216" s="29"/>
    </row>
    <row r="217">
      <c r="A217" s="29"/>
      <c r="B217" s="29"/>
      <c r="C217" s="29"/>
      <c r="D217" s="29"/>
      <c r="E217" s="29"/>
    </row>
    <row r="218">
      <c r="A218" s="29"/>
      <c r="B218" s="29"/>
      <c r="C218" s="29"/>
      <c r="D218" s="29"/>
      <c r="E218" s="29"/>
    </row>
    <row r="219">
      <c r="A219" s="29"/>
      <c r="B219" s="29"/>
      <c r="C219" s="29"/>
      <c r="D219" s="29"/>
      <c r="E219" s="29"/>
    </row>
    <row r="220">
      <c r="A220" s="29"/>
      <c r="B220" s="29"/>
      <c r="C220" s="29"/>
      <c r="D220" s="29"/>
      <c r="E220" s="29"/>
    </row>
    <row r="221">
      <c r="A221" s="29"/>
      <c r="B221" s="29"/>
      <c r="C221" s="29"/>
      <c r="D221" s="29"/>
      <c r="E221" s="29"/>
    </row>
    <row r="222">
      <c r="A222" s="29"/>
      <c r="B222" s="29"/>
      <c r="C222" s="29"/>
      <c r="D222" s="29"/>
      <c r="E222" s="29"/>
    </row>
    <row r="223">
      <c r="A223" s="29"/>
      <c r="B223" s="29"/>
      <c r="C223" s="29"/>
      <c r="D223" s="29"/>
      <c r="E223" s="29"/>
    </row>
    <row r="224">
      <c r="A224" s="29"/>
      <c r="B224" s="29"/>
      <c r="C224" s="29"/>
      <c r="D224" s="29"/>
      <c r="E224" s="29"/>
    </row>
    <row r="225">
      <c r="A225" s="29"/>
      <c r="B225" s="29"/>
      <c r="C225" s="29"/>
      <c r="D225" s="29"/>
      <c r="E225" s="29"/>
    </row>
    <row r="226">
      <c r="A226" s="29"/>
      <c r="B226" s="29"/>
      <c r="C226" s="29"/>
      <c r="D226" s="29"/>
      <c r="E226" s="29"/>
    </row>
    <row r="227">
      <c r="A227" s="29"/>
      <c r="B227" s="29"/>
      <c r="C227" s="29"/>
      <c r="D227" s="29"/>
      <c r="E227" s="29"/>
    </row>
    <row r="228">
      <c r="A228" s="29"/>
      <c r="B228" s="29"/>
      <c r="C228" s="29"/>
      <c r="D228" s="29"/>
      <c r="E228" s="29"/>
    </row>
    <row r="229">
      <c r="A229" s="29"/>
      <c r="B229" s="29"/>
      <c r="C229" s="29"/>
      <c r="D229" s="29"/>
      <c r="E229" s="29"/>
    </row>
    <row r="230">
      <c r="A230" s="29"/>
      <c r="B230" s="29"/>
      <c r="C230" s="29"/>
      <c r="D230" s="29"/>
      <c r="E230" s="29"/>
    </row>
    <row r="231">
      <c r="A231" s="29"/>
      <c r="B231" s="29"/>
      <c r="C231" s="29"/>
      <c r="D231" s="29"/>
      <c r="E231" s="29"/>
    </row>
    <row r="232">
      <c r="A232" s="29"/>
      <c r="B232" s="29"/>
      <c r="C232" s="29"/>
      <c r="D232" s="29"/>
      <c r="E232" s="29"/>
    </row>
    <row r="233">
      <c r="A233" s="29"/>
      <c r="B233" s="29"/>
      <c r="C233" s="29"/>
      <c r="D233" s="29"/>
      <c r="E233" s="29"/>
    </row>
    <row r="234">
      <c r="A234" s="29"/>
      <c r="B234" s="29"/>
      <c r="C234" s="29"/>
      <c r="D234" s="29"/>
      <c r="E234" s="29"/>
    </row>
    <row r="235">
      <c r="A235" s="29"/>
      <c r="B235" s="29"/>
      <c r="C235" s="29"/>
      <c r="D235" s="29"/>
      <c r="E235" s="29"/>
    </row>
    <row r="236">
      <c r="A236" s="29"/>
      <c r="B236" s="29"/>
      <c r="C236" s="29"/>
      <c r="D236" s="29"/>
      <c r="E236" s="29"/>
    </row>
    <row r="237">
      <c r="A237" s="29"/>
      <c r="B237" s="29"/>
      <c r="C237" s="29"/>
      <c r="D237" s="29"/>
      <c r="E237" s="29"/>
    </row>
    <row r="238">
      <c r="A238" s="29"/>
      <c r="B238" s="29"/>
      <c r="C238" s="29"/>
      <c r="D238" s="29"/>
      <c r="E238" s="29"/>
    </row>
    <row r="239">
      <c r="A239" s="29"/>
      <c r="B239" s="29"/>
      <c r="C239" s="29"/>
      <c r="D239" s="29"/>
      <c r="E239" s="29"/>
    </row>
    <row r="240">
      <c r="A240" s="29"/>
      <c r="B240" s="29"/>
      <c r="C240" s="29"/>
      <c r="D240" s="29"/>
      <c r="E240" s="29"/>
    </row>
    <row r="241">
      <c r="A241" s="29"/>
      <c r="B241" s="29"/>
      <c r="C241" s="29"/>
      <c r="D241" s="29"/>
      <c r="E241" s="29"/>
    </row>
    <row r="242">
      <c r="A242" s="29"/>
      <c r="B242" s="29"/>
      <c r="C242" s="29"/>
      <c r="D242" s="29"/>
      <c r="E242" s="29"/>
    </row>
    <row r="243">
      <c r="A243" s="29"/>
      <c r="B243" s="29"/>
      <c r="C243" s="29"/>
      <c r="D243" s="29"/>
      <c r="E243" s="29"/>
    </row>
    <row r="244">
      <c r="A244" s="29"/>
      <c r="B244" s="29"/>
      <c r="C244" s="29"/>
      <c r="D244" s="29"/>
      <c r="E244" s="29"/>
    </row>
    <row r="245">
      <c r="A245" s="29"/>
      <c r="B245" s="29"/>
      <c r="C245" s="29"/>
      <c r="D245" s="29"/>
      <c r="E245" s="29"/>
    </row>
    <row r="246">
      <c r="A246" s="29"/>
      <c r="B246" s="29"/>
      <c r="C246" s="29"/>
      <c r="D246" s="29"/>
      <c r="E246" s="29"/>
    </row>
    <row r="247">
      <c r="A247" s="29"/>
      <c r="B247" s="29"/>
      <c r="C247" s="29"/>
      <c r="D247" s="29"/>
      <c r="E247" s="29"/>
    </row>
    <row r="248">
      <c r="A248" s="29"/>
      <c r="B248" s="29"/>
      <c r="C248" s="29"/>
      <c r="D248" s="29"/>
      <c r="E248" s="29"/>
    </row>
    <row r="249">
      <c r="A249" s="29"/>
      <c r="B249" s="29"/>
      <c r="C249" s="29"/>
      <c r="D249" s="29"/>
      <c r="E249" s="29"/>
    </row>
    <row r="250">
      <c r="A250" s="29"/>
      <c r="B250" s="29"/>
      <c r="C250" s="29"/>
      <c r="D250" s="29"/>
      <c r="E250" s="29"/>
    </row>
    <row r="251">
      <c r="A251" s="29"/>
      <c r="B251" s="29"/>
      <c r="C251" s="29"/>
      <c r="D251" s="29"/>
      <c r="E251" s="29"/>
    </row>
    <row r="252">
      <c r="A252" s="29"/>
      <c r="B252" s="29"/>
      <c r="C252" s="29"/>
      <c r="D252" s="29"/>
      <c r="E252" s="29"/>
    </row>
    <row r="253">
      <c r="A253" s="29"/>
      <c r="B253" s="29"/>
      <c r="C253" s="29"/>
      <c r="D253" s="29"/>
      <c r="E253" s="29"/>
    </row>
    <row r="254">
      <c r="A254" s="29"/>
      <c r="B254" s="29"/>
      <c r="C254" s="29"/>
      <c r="D254" s="29"/>
      <c r="E254" s="29"/>
    </row>
    <row r="255">
      <c r="A255" s="29"/>
      <c r="B255" s="29"/>
      <c r="C255" s="29"/>
      <c r="D255" s="29"/>
      <c r="E255" s="29"/>
    </row>
    <row r="256">
      <c r="A256" s="29"/>
      <c r="B256" s="29"/>
      <c r="C256" s="29"/>
      <c r="D256" s="29"/>
      <c r="E256" s="29"/>
    </row>
    <row r="257">
      <c r="A257" s="29"/>
      <c r="B257" s="29"/>
      <c r="C257" s="29"/>
      <c r="D257" s="29"/>
      <c r="E257" s="29"/>
    </row>
    <row r="258">
      <c r="A258" s="29"/>
      <c r="B258" s="29"/>
      <c r="C258" s="29"/>
      <c r="D258" s="29"/>
      <c r="E258" s="29"/>
    </row>
    <row r="259">
      <c r="A259" s="29"/>
      <c r="B259" s="29"/>
      <c r="C259" s="29"/>
      <c r="D259" s="29"/>
      <c r="E259" s="29"/>
    </row>
    <row r="260">
      <c r="A260" s="29"/>
      <c r="B260" s="29"/>
      <c r="C260" s="29"/>
      <c r="D260" s="29"/>
      <c r="E260" s="29"/>
    </row>
    <row r="261">
      <c r="A261" s="29"/>
      <c r="B261" s="29"/>
      <c r="C261" s="29"/>
      <c r="D261" s="29"/>
      <c r="E261" s="29"/>
    </row>
    <row r="262">
      <c r="A262" s="29"/>
      <c r="B262" s="29"/>
      <c r="C262" s="29"/>
      <c r="D262" s="29"/>
      <c r="E262" s="29"/>
    </row>
    <row r="263">
      <c r="A263" s="29"/>
      <c r="B263" s="29"/>
      <c r="C263" s="29"/>
      <c r="D263" s="29"/>
      <c r="E263" s="29"/>
    </row>
    <row r="264">
      <c r="A264" s="29"/>
      <c r="B264" s="29"/>
      <c r="C264" s="29"/>
      <c r="D264" s="29"/>
      <c r="E264" s="29"/>
    </row>
    <row r="265">
      <c r="A265" s="29"/>
      <c r="B265" s="29"/>
      <c r="C265" s="29"/>
      <c r="D265" s="29"/>
      <c r="E265" s="29"/>
    </row>
    <row r="266">
      <c r="A266" s="29"/>
      <c r="B266" s="29"/>
      <c r="C266" s="29"/>
      <c r="D266" s="29"/>
      <c r="E266" s="29"/>
    </row>
    <row r="267">
      <c r="A267" s="29"/>
      <c r="B267" s="29"/>
      <c r="C267" s="29"/>
      <c r="D267" s="29"/>
      <c r="E267" s="29"/>
    </row>
    <row r="268">
      <c r="A268" s="29"/>
      <c r="B268" s="29"/>
      <c r="C268" s="29"/>
      <c r="D268" s="29"/>
      <c r="E268" s="29"/>
    </row>
    <row r="269">
      <c r="A269" s="29"/>
      <c r="B269" s="29"/>
      <c r="C269" s="29"/>
      <c r="D269" s="29"/>
      <c r="E269" s="29"/>
    </row>
    <row r="270">
      <c r="A270" s="29"/>
      <c r="B270" s="29"/>
      <c r="C270" s="29"/>
      <c r="D270" s="29"/>
      <c r="E270" s="29"/>
    </row>
    <row r="271">
      <c r="A271" s="29"/>
      <c r="B271" s="29"/>
      <c r="C271" s="29"/>
      <c r="D271" s="29"/>
      <c r="E271" s="29"/>
    </row>
    <row r="272">
      <c r="A272" s="29"/>
      <c r="B272" s="29"/>
      <c r="C272" s="29"/>
      <c r="D272" s="29"/>
      <c r="E272" s="29"/>
    </row>
    <row r="273">
      <c r="A273" s="29"/>
      <c r="B273" s="29"/>
      <c r="C273" s="29"/>
      <c r="D273" s="29"/>
      <c r="E273" s="29"/>
    </row>
    <row r="274">
      <c r="A274" s="29"/>
      <c r="B274" s="29"/>
      <c r="C274" s="29"/>
      <c r="D274" s="29"/>
      <c r="E274" s="29"/>
    </row>
    <row r="275">
      <c r="A275" s="29"/>
      <c r="B275" s="29"/>
      <c r="C275" s="29"/>
      <c r="D275" s="29"/>
      <c r="E275" s="29"/>
    </row>
    <row r="276">
      <c r="A276" s="29"/>
      <c r="B276" s="29"/>
      <c r="C276" s="29"/>
      <c r="D276" s="29"/>
      <c r="E276" s="29"/>
    </row>
    <row r="277">
      <c r="A277" s="29"/>
      <c r="B277" s="29"/>
      <c r="C277" s="29"/>
      <c r="D277" s="29"/>
      <c r="E277" s="29"/>
    </row>
    <row r="278">
      <c r="A278" s="29"/>
      <c r="B278" s="29"/>
      <c r="C278" s="29"/>
      <c r="D278" s="29"/>
      <c r="E278" s="29"/>
    </row>
    <row r="279">
      <c r="A279" s="29"/>
      <c r="B279" s="29"/>
      <c r="C279" s="29"/>
      <c r="D279" s="29"/>
      <c r="E279" s="29"/>
    </row>
    <row r="280">
      <c r="A280" s="29"/>
      <c r="B280" s="29"/>
      <c r="C280" s="29"/>
      <c r="D280" s="29"/>
      <c r="E280" s="29"/>
    </row>
    <row r="281">
      <c r="A281" s="29"/>
      <c r="B281" s="29"/>
      <c r="C281" s="29"/>
      <c r="D281" s="29"/>
      <c r="E281" s="29"/>
    </row>
    <row r="282">
      <c r="A282" s="29"/>
      <c r="B282" s="29"/>
      <c r="C282" s="29"/>
      <c r="D282" s="29"/>
      <c r="E282" s="29"/>
    </row>
    <row r="283">
      <c r="A283" s="29"/>
      <c r="B283" s="29"/>
      <c r="C283" s="29"/>
      <c r="D283" s="29"/>
      <c r="E283" s="29"/>
    </row>
    <row r="284">
      <c r="A284" s="29"/>
      <c r="B284" s="29"/>
      <c r="C284" s="29"/>
      <c r="D284" s="29"/>
      <c r="E284" s="29"/>
    </row>
    <row r="285">
      <c r="A285" s="29"/>
      <c r="B285" s="29"/>
      <c r="C285" s="29"/>
      <c r="D285" s="29"/>
      <c r="E285" s="29"/>
    </row>
    <row r="286">
      <c r="A286" s="29"/>
      <c r="B286" s="29"/>
      <c r="C286" s="29"/>
      <c r="D286" s="29"/>
      <c r="E286" s="29"/>
    </row>
    <row r="287">
      <c r="A287" s="29"/>
      <c r="B287" s="29"/>
      <c r="C287" s="29"/>
      <c r="D287" s="29"/>
      <c r="E287" s="29"/>
    </row>
    <row r="288">
      <c r="A288" s="29"/>
      <c r="B288" s="29"/>
      <c r="C288" s="29"/>
      <c r="D288" s="29"/>
      <c r="E288" s="29"/>
    </row>
    <row r="289">
      <c r="A289" s="29"/>
      <c r="B289" s="29"/>
      <c r="C289" s="29"/>
      <c r="D289" s="29"/>
      <c r="E289" s="29"/>
    </row>
    <row r="290">
      <c r="A290" s="29"/>
      <c r="B290" s="29"/>
      <c r="C290" s="29"/>
      <c r="D290" s="29"/>
      <c r="E290" s="29"/>
    </row>
    <row r="291">
      <c r="A291" s="29"/>
      <c r="B291" s="29"/>
      <c r="C291" s="29"/>
      <c r="D291" s="29"/>
      <c r="E291" s="29"/>
    </row>
    <row r="292">
      <c r="A292" s="29"/>
      <c r="B292" s="29"/>
      <c r="C292" s="29"/>
      <c r="D292" s="29"/>
      <c r="E292" s="29"/>
    </row>
    <row r="293">
      <c r="A293" s="29"/>
      <c r="B293" s="29"/>
      <c r="C293" s="29"/>
      <c r="D293" s="29"/>
      <c r="E293" s="29"/>
    </row>
    <row r="294">
      <c r="A294" s="29"/>
      <c r="B294" s="29"/>
      <c r="C294" s="29"/>
      <c r="D294" s="29"/>
      <c r="E294" s="29"/>
    </row>
    <row r="295">
      <c r="A295" s="29"/>
      <c r="B295" s="29"/>
      <c r="C295" s="29"/>
      <c r="D295" s="29"/>
      <c r="E295" s="29"/>
    </row>
    <row r="296">
      <c r="A296" s="29"/>
      <c r="B296" s="29"/>
      <c r="C296" s="29"/>
      <c r="D296" s="29"/>
      <c r="E296" s="29"/>
    </row>
    <row r="297">
      <c r="A297" s="29"/>
      <c r="B297" s="29"/>
      <c r="C297" s="29"/>
      <c r="D297" s="29"/>
      <c r="E297" s="29"/>
    </row>
    <row r="298">
      <c r="A298" s="29"/>
      <c r="B298" s="29"/>
      <c r="C298" s="29"/>
      <c r="D298" s="29"/>
      <c r="E298" s="29"/>
    </row>
    <row r="299">
      <c r="A299" s="29"/>
      <c r="B299" s="29"/>
      <c r="C299" s="29"/>
      <c r="D299" s="29"/>
      <c r="E299" s="29"/>
    </row>
    <row r="300">
      <c r="A300" s="29"/>
      <c r="B300" s="29"/>
      <c r="C300" s="29"/>
      <c r="D300" s="29"/>
      <c r="E300" s="29"/>
    </row>
    <row r="301">
      <c r="A301" s="29"/>
      <c r="B301" s="29"/>
      <c r="C301" s="29"/>
      <c r="D301" s="29"/>
      <c r="E301" s="29"/>
    </row>
    <row r="302">
      <c r="A302" s="29"/>
      <c r="B302" s="29"/>
      <c r="C302" s="29"/>
      <c r="D302" s="29"/>
      <c r="E302" s="29"/>
    </row>
    <row r="303">
      <c r="A303" s="29"/>
      <c r="B303" s="29"/>
      <c r="C303" s="29"/>
      <c r="D303" s="29"/>
      <c r="E303" s="29"/>
    </row>
    <row r="304">
      <c r="A304" s="29"/>
      <c r="B304" s="29"/>
      <c r="C304" s="29"/>
      <c r="D304" s="29"/>
      <c r="E304" s="29"/>
    </row>
    <row r="305">
      <c r="A305" s="29"/>
      <c r="B305" s="29"/>
      <c r="C305" s="29"/>
      <c r="D305" s="29"/>
      <c r="E305" s="29"/>
    </row>
    <row r="306">
      <c r="A306" s="29"/>
      <c r="B306" s="29"/>
      <c r="C306" s="29"/>
      <c r="D306" s="29"/>
      <c r="E306" s="29"/>
    </row>
    <row r="307">
      <c r="A307" s="29"/>
      <c r="B307" s="29"/>
      <c r="C307" s="29"/>
      <c r="D307" s="29"/>
      <c r="E307" s="29"/>
    </row>
    <row r="308">
      <c r="A308" s="29"/>
      <c r="B308" s="29"/>
      <c r="C308" s="29"/>
      <c r="D308" s="29"/>
      <c r="E308" s="29"/>
    </row>
    <row r="309">
      <c r="A309" s="29"/>
      <c r="B309" s="29"/>
      <c r="C309" s="29"/>
      <c r="D309" s="29"/>
      <c r="E309" s="29"/>
    </row>
    <row r="310">
      <c r="A310" s="29"/>
      <c r="B310" s="29"/>
      <c r="C310" s="29"/>
      <c r="D310" s="29"/>
      <c r="E310" s="29"/>
    </row>
    <row r="311">
      <c r="A311" s="29"/>
      <c r="B311" s="29"/>
      <c r="C311" s="29"/>
      <c r="D311" s="29"/>
      <c r="E311" s="29"/>
    </row>
    <row r="312">
      <c r="A312" s="29"/>
      <c r="B312" s="29"/>
      <c r="C312" s="29"/>
      <c r="D312" s="29"/>
      <c r="E312" s="29"/>
    </row>
    <row r="313">
      <c r="A313" s="29"/>
      <c r="B313" s="29"/>
      <c r="C313" s="29"/>
      <c r="D313" s="29"/>
      <c r="E313" s="29"/>
    </row>
    <row r="314">
      <c r="A314" s="29"/>
      <c r="B314" s="29"/>
      <c r="C314" s="29"/>
      <c r="D314" s="29"/>
      <c r="E314" s="29"/>
    </row>
    <row r="315">
      <c r="A315" s="29"/>
      <c r="B315" s="29"/>
      <c r="C315" s="29"/>
      <c r="D315" s="29"/>
      <c r="E315" s="29"/>
    </row>
    <row r="316">
      <c r="A316" s="29"/>
      <c r="B316" s="29"/>
      <c r="C316" s="29"/>
      <c r="D316" s="29"/>
      <c r="E316" s="29"/>
    </row>
    <row r="317">
      <c r="A317" s="29"/>
      <c r="B317" s="29"/>
      <c r="C317" s="29"/>
      <c r="D317" s="29"/>
      <c r="E317" s="29"/>
    </row>
    <row r="318">
      <c r="A318" s="29"/>
      <c r="B318" s="29"/>
      <c r="C318" s="29"/>
      <c r="D318" s="29"/>
      <c r="E318" s="29"/>
    </row>
    <row r="319">
      <c r="A319" s="29"/>
      <c r="B319" s="29"/>
      <c r="C319" s="29"/>
      <c r="D319" s="29"/>
      <c r="E319" s="29"/>
    </row>
    <row r="320">
      <c r="A320" s="29"/>
      <c r="B320" s="29"/>
      <c r="C320" s="29"/>
      <c r="D320" s="29"/>
      <c r="E320" s="29"/>
    </row>
    <row r="321">
      <c r="A321" s="29"/>
      <c r="B321" s="29"/>
      <c r="C321" s="29"/>
      <c r="D321" s="29"/>
      <c r="E321" s="29"/>
    </row>
    <row r="322">
      <c r="A322" s="29"/>
      <c r="B322" s="29"/>
      <c r="C322" s="29"/>
      <c r="D322" s="29"/>
      <c r="E322" s="29"/>
    </row>
    <row r="323">
      <c r="A323" s="29"/>
      <c r="B323" s="29"/>
      <c r="C323" s="29"/>
      <c r="D323" s="29"/>
      <c r="E323" s="29"/>
    </row>
    <row r="324">
      <c r="A324" s="29"/>
      <c r="B324" s="29"/>
      <c r="C324" s="29"/>
      <c r="D324" s="29"/>
      <c r="E324" s="29"/>
    </row>
    <row r="325">
      <c r="A325" s="29"/>
      <c r="B325" s="29"/>
      <c r="C325" s="29"/>
      <c r="D325" s="29"/>
      <c r="E325" s="29"/>
    </row>
    <row r="326">
      <c r="A326" s="29"/>
      <c r="B326" s="29"/>
      <c r="C326" s="29"/>
      <c r="D326" s="29"/>
      <c r="E326" s="29"/>
    </row>
    <row r="327">
      <c r="A327" s="29"/>
      <c r="B327" s="29"/>
      <c r="C327" s="29"/>
      <c r="D327" s="29"/>
      <c r="E327" s="29"/>
    </row>
    <row r="328">
      <c r="A328" s="29"/>
      <c r="B328" s="29"/>
      <c r="C328" s="29"/>
      <c r="D328" s="29"/>
      <c r="E328" s="29"/>
    </row>
    <row r="329">
      <c r="A329" s="29"/>
      <c r="B329" s="29"/>
      <c r="C329" s="29"/>
      <c r="D329" s="29"/>
      <c r="E329" s="29"/>
    </row>
    <row r="330">
      <c r="A330" s="29"/>
      <c r="B330" s="29"/>
      <c r="C330" s="29"/>
      <c r="D330" s="29"/>
      <c r="E330" s="29"/>
    </row>
    <row r="331">
      <c r="A331" s="29"/>
      <c r="B331" s="29"/>
      <c r="C331" s="29"/>
      <c r="D331" s="29"/>
      <c r="E331" s="29"/>
    </row>
    <row r="332">
      <c r="A332" s="29"/>
      <c r="B332" s="29"/>
      <c r="C332" s="29"/>
      <c r="D332" s="29"/>
      <c r="E332" s="29"/>
    </row>
    <row r="333">
      <c r="A333" s="29"/>
      <c r="B333" s="29"/>
      <c r="C333" s="29"/>
      <c r="D333" s="29"/>
      <c r="E333" s="29"/>
    </row>
    <row r="334">
      <c r="A334" s="29"/>
      <c r="B334" s="29"/>
      <c r="C334" s="29"/>
      <c r="D334" s="29"/>
      <c r="E334" s="29"/>
    </row>
    <row r="335">
      <c r="A335" s="29"/>
      <c r="B335" s="29"/>
      <c r="C335" s="29"/>
      <c r="D335" s="29"/>
      <c r="E335" s="29"/>
    </row>
    <row r="336">
      <c r="A336" s="29"/>
      <c r="B336" s="29"/>
      <c r="C336" s="29"/>
      <c r="D336" s="29"/>
      <c r="E336" s="29"/>
    </row>
    <row r="337">
      <c r="A337" s="29"/>
      <c r="B337" s="29"/>
      <c r="C337" s="29"/>
      <c r="D337" s="29"/>
      <c r="E337" s="29"/>
    </row>
    <row r="338">
      <c r="A338" s="29"/>
      <c r="B338" s="29"/>
      <c r="C338" s="29"/>
      <c r="D338" s="29"/>
      <c r="E338" s="29"/>
    </row>
    <row r="339">
      <c r="A339" s="29"/>
      <c r="B339" s="29"/>
      <c r="C339" s="29"/>
      <c r="D339" s="29"/>
      <c r="E339" s="29"/>
    </row>
    <row r="340">
      <c r="A340" s="29"/>
      <c r="B340" s="29"/>
      <c r="C340" s="29"/>
      <c r="D340" s="29"/>
      <c r="E340" s="29"/>
    </row>
    <row r="341">
      <c r="A341" s="29"/>
      <c r="B341" s="29"/>
      <c r="C341" s="29"/>
      <c r="D341" s="29"/>
      <c r="E341" s="29"/>
    </row>
    <row r="342">
      <c r="A342" s="29"/>
      <c r="B342" s="29"/>
      <c r="C342" s="29"/>
      <c r="D342" s="29"/>
      <c r="E342" s="29"/>
    </row>
    <row r="343">
      <c r="A343" s="29"/>
      <c r="B343" s="29"/>
      <c r="C343" s="29"/>
      <c r="D343" s="29"/>
      <c r="E343" s="29"/>
    </row>
    <row r="344">
      <c r="A344" s="29"/>
      <c r="B344" s="29"/>
      <c r="C344" s="29"/>
      <c r="D344" s="29"/>
      <c r="E344" s="29"/>
    </row>
    <row r="345">
      <c r="A345" s="29"/>
      <c r="B345" s="29"/>
      <c r="C345" s="29"/>
      <c r="D345" s="29"/>
      <c r="E345" s="29"/>
    </row>
    <row r="346">
      <c r="A346" s="29"/>
      <c r="B346" s="29"/>
      <c r="C346" s="29"/>
      <c r="D346" s="29"/>
      <c r="E346" s="29"/>
    </row>
    <row r="347">
      <c r="A347" s="29"/>
      <c r="B347" s="29"/>
      <c r="C347" s="29"/>
      <c r="D347" s="29"/>
      <c r="E347" s="29"/>
    </row>
    <row r="348">
      <c r="A348" s="29"/>
      <c r="B348" s="29"/>
      <c r="C348" s="29"/>
      <c r="D348" s="29"/>
      <c r="E348" s="29"/>
    </row>
    <row r="349">
      <c r="A349" s="29"/>
      <c r="B349" s="29"/>
      <c r="C349" s="29"/>
      <c r="D349" s="29"/>
      <c r="E349" s="29"/>
    </row>
    <row r="350">
      <c r="A350" s="29"/>
      <c r="B350" s="29"/>
      <c r="C350" s="29"/>
      <c r="D350" s="29"/>
      <c r="E350" s="29"/>
    </row>
    <row r="351">
      <c r="A351" s="29"/>
      <c r="B351" s="29"/>
      <c r="C351" s="29"/>
      <c r="D351" s="29"/>
      <c r="E351" s="29"/>
    </row>
    <row r="352">
      <c r="A352" s="29"/>
      <c r="B352" s="29"/>
      <c r="C352" s="29"/>
      <c r="D352" s="29"/>
      <c r="E352" s="29"/>
    </row>
    <row r="353">
      <c r="A353" s="29"/>
      <c r="B353" s="29"/>
      <c r="C353" s="29"/>
      <c r="D353" s="29"/>
      <c r="E353" s="29"/>
    </row>
    <row r="354">
      <c r="A354" s="29"/>
      <c r="B354" s="29"/>
      <c r="C354" s="29"/>
      <c r="D354" s="29"/>
      <c r="E354" s="29"/>
    </row>
    <row r="355">
      <c r="A355" s="29"/>
      <c r="B355" s="29"/>
      <c r="C355" s="29"/>
      <c r="D355" s="29"/>
      <c r="E355" s="29"/>
    </row>
    <row r="356">
      <c r="A356" s="29"/>
      <c r="B356" s="29"/>
      <c r="C356" s="29"/>
      <c r="D356" s="29"/>
      <c r="E356" s="29"/>
    </row>
    <row r="357">
      <c r="A357" s="29"/>
      <c r="B357" s="29"/>
      <c r="C357" s="29"/>
      <c r="D357" s="29"/>
      <c r="E357" s="29"/>
    </row>
    <row r="358">
      <c r="A358" s="29"/>
      <c r="B358" s="29"/>
      <c r="C358" s="29"/>
      <c r="D358" s="29"/>
      <c r="E358" s="29"/>
    </row>
    <row r="359">
      <c r="A359" s="29"/>
      <c r="B359" s="29"/>
      <c r="C359" s="29"/>
      <c r="D359" s="29"/>
      <c r="E359" s="29"/>
    </row>
    <row r="360">
      <c r="A360" s="29"/>
      <c r="B360" s="29"/>
      <c r="C360" s="29"/>
      <c r="D360" s="29"/>
      <c r="E360" s="29"/>
    </row>
    <row r="361">
      <c r="A361" s="29"/>
      <c r="B361" s="29"/>
      <c r="C361" s="29"/>
      <c r="D361" s="29"/>
      <c r="E361" s="29"/>
    </row>
    <row r="362">
      <c r="A362" s="29"/>
      <c r="B362" s="29"/>
      <c r="C362" s="29"/>
      <c r="D362" s="29"/>
      <c r="E362" s="29"/>
    </row>
    <row r="363">
      <c r="A363" s="29"/>
      <c r="B363" s="29"/>
      <c r="C363" s="29"/>
      <c r="D363" s="29"/>
      <c r="E363" s="29"/>
    </row>
    <row r="364">
      <c r="A364" s="29"/>
      <c r="B364" s="29"/>
      <c r="C364" s="29"/>
      <c r="D364" s="29"/>
      <c r="E364" s="29"/>
    </row>
    <row r="365">
      <c r="A365" s="29"/>
      <c r="B365" s="29"/>
      <c r="C365" s="29"/>
      <c r="D365" s="29"/>
      <c r="E365" s="29"/>
    </row>
    <row r="366">
      <c r="A366" s="29"/>
      <c r="B366" s="29"/>
      <c r="C366" s="29"/>
      <c r="D366" s="29"/>
      <c r="E366" s="29"/>
    </row>
    <row r="367">
      <c r="A367" s="29"/>
      <c r="B367" s="29"/>
      <c r="C367" s="29"/>
      <c r="D367" s="29"/>
      <c r="E367" s="29"/>
    </row>
    <row r="368">
      <c r="A368" s="29"/>
      <c r="B368" s="29"/>
      <c r="C368" s="29"/>
      <c r="D368" s="29"/>
      <c r="E368" s="29"/>
    </row>
    <row r="369">
      <c r="A369" s="29"/>
      <c r="B369" s="29"/>
      <c r="C369" s="29"/>
      <c r="D369" s="29"/>
      <c r="E369" s="29"/>
    </row>
    <row r="370">
      <c r="A370" s="29"/>
      <c r="B370" s="29"/>
      <c r="C370" s="29"/>
      <c r="D370" s="29"/>
      <c r="E370" s="29"/>
    </row>
    <row r="371">
      <c r="A371" s="29"/>
      <c r="B371" s="29"/>
      <c r="C371" s="29"/>
      <c r="D371" s="29"/>
      <c r="E371" s="29"/>
    </row>
    <row r="372">
      <c r="A372" s="29"/>
      <c r="B372" s="29"/>
      <c r="C372" s="29"/>
      <c r="D372" s="29"/>
      <c r="E372" s="29"/>
    </row>
    <row r="373">
      <c r="A373" s="29"/>
      <c r="B373" s="29"/>
      <c r="C373" s="29"/>
      <c r="D373" s="29"/>
      <c r="E373" s="29"/>
    </row>
    <row r="374">
      <c r="A374" s="29"/>
      <c r="B374" s="29"/>
      <c r="C374" s="29"/>
      <c r="D374" s="29"/>
      <c r="E374" s="29"/>
    </row>
    <row r="375">
      <c r="A375" s="29"/>
      <c r="B375" s="29"/>
      <c r="C375" s="29"/>
      <c r="D375" s="29"/>
      <c r="E375" s="29"/>
    </row>
    <row r="376">
      <c r="A376" s="29"/>
      <c r="B376" s="29"/>
      <c r="C376" s="29"/>
      <c r="D376" s="29"/>
      <c r="E376" s="29"/>
    </row>
    <row r="377">
      <c r="A377" s="29"/>
      <c r="B377" s="29"/>
      <c r="C377" s="29"/>
      <c r="D377" s="29"/>
      <c r="E377" s="29"/>
    </row>
    <row r="378">
      <c r="A378" s="29"/>
      <c r="B378" s="29"/>
      <c r="C378" s="29"/>
      <c r="D378" s="29"/>
      <c r="E378" s="29"/>
    </row>
    <row r="379">
      <c r="A379" s="29"/>
      <c r="B379" s="29"/>
      <c r="C379" s="29"/>
      <c r="D379" s="29"/>
      <c r="E379" s="29"/>
    </row>
    <row r="380">
      <c r="A380" s="29"/>
      <c r="B380" s="29"/>
      <c r="C380" s="29"/>
      <c r="D380" s="29"/>
      <c r="E380" s="29"/>
    </row>
    <row r="381">
      <c r="A381" s="29"/>
      <c r="B381" s="29"/>
      <c r="C381" s="29"/>
      <c r="D381" s="29"/>
      <c r="E381" s="29"/>
    </row>
    <row r="382">
      <c r="A382" s="29"/>
      <c r="B382" s="29"/>
      <c r="C382" s="29"/>
      <c r="D382" s="29"/>
      <c r="E382" s="29"/>
    </row>
    <row r="383">
      <c r="A383" s="29"/>
      <c r="B383" s="29"/>
      <c r="C383" s="29"/>
      <c r="D383" s="29"/>
      <c r="E383" s="29"/>
    </row>
    <row r="384">
      <c r="A384" s="29"/>
      <c r="B384" s="29"/>
      <c r="C384" s="29"/>
      <c r="D384" s="29"/>
      <c r="E384" s="29"/>
    </row>
    <row r="385">
      <c r="A385" s="29"/>
      <c r="B385" s="29"/>
      <c r="C385" s="29"/>
      <c r="D385" s="29"/>
      <c r="E385" s="29"/>
    </row>
    <row r="386">
      <c r="A386" s="29"/>
      <c r="B386" s="29"/>
      <c r="C386" s="29"/>
      <c r="D386" s="29"/>
      <c r="E386" s="29"/>
    </row>
    <row r="387">
      <c r="A387" s="29"/>
      <c r="B387" s="29"/>
      <c r="C387" s="29"/>
      <c r="D387" s="29"/>
      <c r="E387" s="29"/>
    </row>
    <row r="388">
      <c r="A388" s="29"/>
      <c r="B388" s="29"/>
      <c r="C388" s="29"/>
      <c r="D388" s="29"/>
      <c r="E388" s="29"/>
    </row>
    <row r="389">
      <c r="A389" s="29"/>
      <c r="B389" s="29"/>
      <c r="C389" s="29"/>
      <c r="D389" s="29"/>
      <c r="E389" s="29"/>
    </row>
    <row r="390">
      <c r="A390" s="29"/>
      <c r="B390" s="29"/>
      <c r="C390" s="29"/>
      <c r="D390" s="29"/>
      <c r="E390" s="29"/>
    </row>
    <row r="391">
      <c r="A391" s="29"/>
      <c r="B391" s="29"/>
      <c r="C391" s="29"/>
      <c r="D391" s="29"/>
      <c r="E391" s="29"/>
    </row>
    <row r="392">
      <c r="A392" s="29"/>
      <c r="B392" s="29"/>
      <c r="C392" s="29"/>
      <c r="D392" s="29"/>
      <c r="E392" s="29"/>
    </row>
    <row r="393">
      <c r="A393" s="29"/>
      <c r="B393" s="29"/>
      <c r="C393" s="29"/>
      <c r="D393" s="29"/>
      <c r="E393" s="29"/>
    </row>
    <row r="394">
      <c r="A394" s="29"/>
      <c r="B394" s="29"/>
      <c r="C394" s="29"/>
      <c r="D394" s="29"/>
      <c r="E394" s="29"/>
    </row>
    <row r="395">
      <c r="A395" s="29"/>
      <c r="B395" s="29"/>
      <c r="C395" s="29"/>
      <c r="D395" s="29"/>
      <c r="E395" s="29"/>
    </row>
    <row r="396">
      <c r="A396" s="29"/>
      <c r="B396" s="29"/>
      <c r="C396" s="29"/>
      <c r="D396" s="29"/>
      <c r="E396" s="29"/>
    </row>
    <row r="397">
      <c r="A397" s="29"/>
      <c r="B397" s="29"/>
      <c r="C397" s="29"/>
      <c r="D397" s="29"/>
      <c r="E397" s="29"/>
    </row>
    <row r="398">
      <c r="A398" s="29"/>
      <c r="B398" s="29"/>
      <c r="C398" s="29"/>
      <c r="D398" s="29"/>
      <c r="E398" s="29"/>
    </row>
    <row r="399">
      <c r="A399" s="29"/>
      <c r="B399" s="29"/>
      <c r="C399" s="29"/>
      <c r="D399" s="29"/>
      <c r="E399" s="29"/>
    </row>
    <row r="400">
      <c r="A400" s="29"/>
      <c r="B400" s="29"/>
      <c r="C400" s="29"/>
      <c r="D400" s="29"/>
      <c r="E400" s="29"/>
    </row>
    <row r="401">
      <c r="A401" s="29"/>
      <c r="B401" s="29"/>
      <c r="C401" s="29"/>
      <c r="D401" s="29"/>
      <c r="E401" s="29"/>
    </row>
    <row r="402">
      <c r="A402" s="29"/>
      <c r="B402" s="29"/>
      <c r="C402" s="29"/>
      <c r="D402" s="29"/>
      <c r="E402" s="29"/>
    </row>
    <row r="403">
      <c r="A403" s="29"/>
      <c r="B403" s="29"/>
      <c r="C403" s="29"/>
      <c r="D403" s="29"/>
      <c r="E403" s="29"/>
    </row>
    <row r="404">
      <c r="A404" s="29"/>
      <c r="B404" s="29"/>
      <c r="C404" s="29"/>
      <c r="D404" s="29"/>
      <c r="E404" s="29"/>
    </row>
    <row r="405">
      <c r="A405" s="29"/>
      <c r="B405" s="29"/>
      <c r="C405" s="29"/>
      <c r="D405" s="29"/>
      <c r="E405" s="29"/>
    </row>
    <row r="406">
      <c r="A406" s="29"/>
      <c r="B406" s="29"/>
      <c r="C406" s="29"/>
      <c r="D406" s="29"/>
      <c r="E406" s="29"/>
    </row>
    <row r="407">
      <c r="A407" s="29"/>
      <c r="B407" s="29"/>
      <c r="C407" s="29"/>
      <c r="D407" s="29"/>
      <c r="E407" s="29"/>
    </row>
    <row r="408">
      <c r="A408" s="29"/>
      <c r="B408" s="29"/>
      <c r="C408" s="29"/>
      <c r="D408" s="29"/>
      <c r="E408" s="29"/>
    </row>
    <row r="409">
      <c r="A409" s="29"/>
      <c r="B409" s="29"/>
      <c r="C409" s="29"/>
      <c r="D409" s="29"/>
      <c r="E409" s="29"/>
    </row>
    <row r="410">
      <c r="A410" s="29"/>
      <c r="B410" s="29"/>
      <c r="C410" s="29"/>
      <c r="D410" s="29"/>
      <c r="E410" s="29"/>
    </row>
    <row r="411">
      <c r="A411" s="29"/>
      <c r="B411" s="29"/>
      <c r="C411" s="29"/>
      <c r="D411" s="29"/>
      <c r="E411" s="29"/>
    </row>
    <row r="412">
      <c r="A412" s="29"/>
      <c r="B412" s="29"/>
      <c r="C412" s="29"/>
      <c r="D412" s="29"/>
      <c r="E412" s="29"/>
    </row>
    <row r="413">
      <c r="A413" s="29"/>
      <c r="B413" s="29"/>
      <c r="C413" s="29"/>
      <c r="D413" s="29"/>
      <c r="E413" s="29"/>
    </row>
    <row r="414">
      <c r="A414" s="29"/>
      <c r="B414" s="29"/>
      <c r="C414" s="29"/>
      <c r="D414" s="29"/>
      <c r="E414" s="29"/>
    </row>
    <row r="415">
      <c r="A415" s="29"/>
      <c r="B415" s="29"/>
      <c r="C415" s="29"/>
      <c r="D415" s="29"/>
      <c r="E415" s="29"/>
    </row>
    <row r="416">
      <c r="A416" s="29"/>
      <c r="B416" s="29"/>
      <c r="C416" s="29"/>
      <c r="D416" s="29"/>
      <c r="E416" s="29"/>
    </row>
    <row r="417">
      <c r="A417" s="29"/>
      <c r="B417" s="29"/>
      <c r="C417" s="29"/>
      <c r="D417" s="29"/>
      <c r="E417" s="29"/>
    </row>
    <row r="418">
      <c r="A418" s="29"/>
      <c r="B418" s="29"/>
      <c r="C418" s="29"/>
      <c r="D418" s="29"/>
      <c r="E418" s="29"/>
    </row>
    <row r="419">
      <c r="A419" s="29"/>
      <c r="B419" s="29"/>
      <c r="C419" s="29"/>
      <c r="D419" s="29"/>
      <c r="E419" s="29"/>
    </row>
    <row r="420">
      <c r="A420" s="29"/>
      <c r="B420" s="29"/>
      <c r="C420" s="29"/>
      <c r="D420" s="29"/>
      <c r="E420" s="29"/>
    </row>
    <row r="421">
      <c r="A421" s="29"/>
      <c r="B421" s="29"/>
      <c r="C421" s="29"/>
      <c r="D421" s="29"/>
      <c r="E421" s="29"/>
    </row>
    <row r="422">
      <c r="A422" s="29"/>
      <c r="B422" s="29"/>
      <c r="C422" s="29"/>
      <c r="D422" s="29"/>
      <c r="E422" s="29"/>
    </row>
    <row r="423">
      <c r="A423" s="29"/>
      <c r="B423" s="29"/>
      <c r="C423" s="29"/>
      <c r="D423" s="29"/>
      <c r="E423" s="29"/>
    </row>
    <row r="424">
      <c r="A424" s="29"/>
      <c r="B424" s="29"/>
      <c r="C424" s="29"/>
      <c r="D424" s="29"/>
      <c r="E424" s="29"/>
    </row>
    <row r="425">
      <c r="A425" s="29"/>
      <c r="B425" s="29"/>
      <c r="C425" s="29"/>
      <c r="D425" s="29"/>
      <c r="E425" s="29"/>
    </row>
    <row r="426">
      <c r="A426" s="29"/>
      <c r="B426" s="29"/>
      <c r="C426" s="29"/>
      <c r="D426" s="29"/>
      <c r="E426" s="29"/>
    </row>
    <row r="427">
      <c r="A427" s="29"/>
      <c r="B427" s="29"/>
      <c r="C427" s="29"/>
      <c r="D427" s="29"/>
      <c r="E427" s="29"/>
    </row>
    <row r="428">
      <c r="A428" s="29"/>
      <c r="B428" s="29"/>
      <c r="C428" s="29"/>
      <c r="D428" s="29"/>
      <c r="E428" s="29"/>
    </row>
    <row r="429">
      <c r="A429" s="29"/>
      <c r="B429" s="29"/>
      <c r="C429" s="29"/>
      <c r="D429" s="29"/>
      <c r="E429" s="29"/>
    </row>
    <row r="430">
      <c r="A430" s="29"/>
      <c r="B430" s="29"/>
      <c r="C430" s="29"/>
      <c r="D430" s="29"/>
      <c r="E430" s="29"/>
    </row>
    <row r="431">
      <c r="A431" s="29"/>
      <c r="B431" s="29"/>
      <c r="C431" s="29"/>
      <c r="D431" s="29"/>
      <c r="E431" s="29"/>
    </row>
    <row r="432">
      <c r="A432" s="29"/>
      <c r="B432" s="29"/>
      <c r="C432" s="29"/>
      <c r="D432" s="29"/>
      <c r="E432" s="29"/>
    </row>
    <row r="433">
      <c r="A433" s="29"/>
      <c r="B433" s="29"/>
      <c r="C433" s="29"/>
      <c r="D433" s="29"/>
      <c r="E433" s="29"/>
    </row>
    <row r="434">
      <c r="A434" s="29"/>
      <c r="B434" s="29"/>
      <c r="C434" s="29"/>
      <c r="D434" s="29"/>
      <c r="E434" s="29"/>
    </row>
    <row r="435">
      <c r="A435" s="29"/>
      <c r="B435" s="29"/>
      <c r="C435" s="29"/>
      <c r="D435" s="29"/>
      <c r="E435" s="29"/>
    </row>
    <row r="436">
      <c r="A436" s="29"/>
      <c r="B436" s="29"/>
      <c r="C436" s="29"/>
      <c r="D436" s="29"/>
      <c r="E436" s="29"/>
    </row>
    <row r="437">
      <c r="A437" s="29"/>
      <c r="B437" s="29"/>
      <c r="C437" s="29"/>
      <c r="D437" s="29"/>
      <c r="E437" s="29"/>
    </row>
    <row r="438">
      <c r="A438" s="29"/>
      <c r="B438" s="29"/>
      <c r="C438" s="29"/>
      <c r="D438" s="29"/>
      <c r="E438" s="29"/>
    </row>
    <row r="439">
      <c r="A439" s="29"/>
      <c r="B439" s="29"/>
      <c r="C439" s="29"/>
      <c r="D439" s="29"/>
      <c r="E439" s="29"/>
    </row>
    <row r="440">
      <c r="A440" s="29"/>
      <c r="B440" s="29"/>
      <c r="C440" s="29"/>
      <c r="D440" s="29"/>
      <c r="E440" s="29"/>
    </row>
    <row r="441">
      <c r="A441" s="29"/>
      <c r="B441" s="29"/>
      <c r="C441" s="29"/>
      <c r="D441" s="29"/>
      <c r="E441" s="29"/>
    </row>
    <row r="442">
      <c r="A442" s="29"/>
      <c r="B442" s="29"/>
      <c r="C442" s="29"/>
      <c r="D442" s="29"/>
      <c r="E442" s="29"/>
    </row>
    <row r="443">
      <c r="A443" s="29"/>
      <c r="B443" s="29"/>
      <c r="C443" s="29"/>
      <c r="D443" s="29"/>
      <c r="E443" s="29"/>
    </row>
    <row r="444">
      <c r="A444" s="29"/>
      <c r="B444" s="29"/>
      <c r="C444" s="29"/>
      <c r="D444" s="29"/>
      <c r="E444" s="29"/>
    </row>
    <row r="445">
      <c r="A445" s="29"/>
      <c r="B445" s="29"/>
      <c r="C445" s="29"/>
      <c r="D445" s="29"/>
      <c r="E445" s="29"/>
    </row>
    <row r="446">
      <c r="A446" s="29"/>
      <c r="B446" s="29"/>
      <c r="C446" s="29"/>
      <c r="D446" s="29"/>
      <c r="E446" s="29"/>
    </row>
    <row r="447">
      <c r="A447" s="29"/>
      <c r="B447" s="29"/>
      <c r="C447" s="29"/>
      <c r="D447" s="29"/>
      <c r="E447" s="29"/>
    </row>
    <row r="448">
      <c r="A448" s="29"/>
      <c r="B448" s="29"/>
      <c r="C448" s="29"/>
      <c r="D448" s="29"/>
      <c r="E448" s="29"/>
    </row>
    <row r="449">
      <c r="A449" s="29"/>
      <c r="B449" s="29"/>
      <c r="C449" s="29"/>
      <c r="D449" s="29"/>
      <c r="E449" s="29"/>
    </row>
    <row r="450">
      <c r="A450" s="29"/>
      <c r="B450" s="29"/>
      <c r="C450" s="29"/>
      <c r="D450" s="29"/>
      <c r="E450" s="29"/>
    </row>
    <row r="451">
      <c r="A451" s="29"/>
      <c r="B451" s="29"/>
      <c r="C451" s="29"/>
      <c r="D451" s="29"/>
      <c r="E451" s="29"/>
    </row>
    <row r="452">
      <c r="A452" s="29"/>
      <c r="B452" s="29"/>
      <c r="C452" s="29"/>
      <c r="D452" s="29"/>
      <c r="E452" s="29"/>
    </row>
    <row r="453">
      <c r="A453" s="29"/>
      <c r="B453" s="29"/>
      <c r="C453" s="29"/>
      <c r="D453" s="29"/>
      <c r="E453" s="29"/>
    </row>
    <row r="454">
      <c r="A454" s="29"/>
      <c r="B454" s="29"/>
      <c r="C454" s="29"/>
      <c r="D454" s="29"/>
      <c r="E454" s="29"/>
    </row>
    <row r="455">
      <c r="A455" s="29"/>
      <c r="B455" s="29"/>
      <c r="C455" s="29"/>
      <c r="D455" s="29"/>
      <c r="E455" s="29"/>
    </row>
    <row r="456">
      <c r="A456" s="29"/>
      <c r="B456" s="29"/>
      <c r="C456" s="29"/>
      <c r="D456" s="29"/>
      <c r="E456" s="29"/>
    </row>
    <row r="457">
      <c r="A457" s="29"/>
      <c r="B457" s="29"/>
      <c r="C457" s="29"/>
      <c r="D457" s="29"/>
      <c r="E457" s="29"/>
    </row>
    <row r="458">
      <c r="A458" s="29"/>
      <c r="B458" s="29"/>
      <c r="C458" s="29"/>
      <c r="D458" s="29"/>
      <c r="E458" s="29"/>
    </row>
    <row r="459">
      <c r="A459" s="29"/>
      <c r="B459" s="29"/>
      <c r="C459" s="29"/>
      <c r="D459" s="29"/>
      <c r="E459" s="29"/>
    </row>
    <row r="460">
      <c r="A460" s="29"/>
      <c r="B460" s="29"/>
      <c r="C460" s="29"/>
      <c r="D460" s="29"/>
      <c r="E460" s="29"/>
    </row>
    <row r="461">
      <c r="A461" s="29"/>
      <c r="B461" s="29"/>
      <c r="C461" s="29"/>
      <c r="D461" s="29"/>
      <c r="E461" s="29"/>
    </row>
    <row r="462">
      <c r="A462" s="29"/>
      <c r="B462" s="29"/>
      <c r="C462" s="29"/>
      <c r="D462" s="29"/>
      <c r="E462" s="29"/>
    </row>
    <row r="463">
      <c r="A463" s="29"/>
      <c r="B463" s="29"/>
      <c r="C463" s="29"/>
      <c r="D463" s="29"/>
      <c r="E463" s="29"/>
    </row>
    <row r="464">
      <c r="A464" s="29"/>
      <c r="B464" s="29"/>
      <c r="C464" s="29"/>
      <c r="D464" s="29"/>
      <c r="E464" s="29"/>
    </row>
    <row r="465">
      <c r="A465" s="29"/>
      <c r="B465" s="29"/>
      <c r="C465" s="29"/>
      <c r="D465" s="29"/>
      <c r="E465" s="29"/>
    </row>
    <row r="466">
      <c r="A466" s="29"/>
      <c r="B466" s="29"/>
      <c r="C466" s="29"/>
      <c r="D466" s="29"/>
      <c r="E466" s="29"/>
    </row>
    <row r="467">
      <c r="A467" s="29"/>
      <c r="B467" s="29"/>
      <c r="C467" s="29"/>
      <c r="D467" s="29"/>
      <c r="E467" s="29"/>
    </row>
    <row r="468">
      <c r="A468" s="29"/>
      <c r="B468" s="29"/>
      <c r="C468" s="29"/>
      <c r="D468" s="29"/>
      <c r="E468" s="29"/>
    </row>
    <row r="469">
      <c r="A469" s="29"/>
      <c r="B469" s="29"/>
      <c r="C469" s="29"/>
      <c r="D469" s="29"/>
      <c r="E469" s="29"/>
    </row>
    <row r="470">
      <c r="A470" s="29"/>
      <c r="B470" s="29"/>
      <c r="C470" s="29"/>
      <c r="D470" s="29"/>
      <c r="E470" s="29"/>
    </row>
    <row r="471">
      <c r="A471" s="29"/>
      <c r="B471" s="29"/>
      <c r="C471" s="29"/>
      <c r="D471" s="29"/>
      <c r="E471" s="29"/>
    </row>
    <row r="472">
      <c r="A472" s="29"/>
      <c r="B472" s="29"/>
      <c r="C472" s="29"/>
      <c r="D472" s="29"/>
      <c r="E472" s="29"/>
    </row>
    <row r="473">
      <c r="A473" s="29"/>
      <c r="B473" s="29"/>
      <c r="C473" s="29"/>
      <c r="D473" s="29"/>
      <c r="E473" s="29"/>
    </row>
    <row r="474">
      <c r="A474" s="29"/>
      <c r="B474" s="29"/>
      <c r="C474" s="29"/>
      <c r="D474" s="29"/>
      <c r="E474" s="29"/>
    </row>
    <row r="475">
      <c r="A475" s="29"/>
      <c r="B475" s="29"/>
      <c r="C475" s="29"/>
      <c r="D475" s="29"/>
      <c r="E475" s="29"/>
    </row>
    <row r="476">
      <c r="A476" s="29"/>
      <c r="B476" s="29"/>
      <c r="C476" s="29"/>
      <c r="D476" s="29"/>
      <c r="E476" s="29"/>
    </row>
    <row r="477">
      <c r="A477" s="29"/>
      <c r="B477" s="29"/>
      <c r="C477" s="29"/>
      <c r="D477" s="29"/>
      <c r="E477" s="29"/>
    </row>
    <row r="478">
      <c r="A478" s="29"/>
      <c r="B478" s="29"/>
      <c r="C478" s="29"/>
      <c r="D478" s="29"/>
      <c r="E478" s="29"/>
    </row>
    <row r="479">
      <c r="A479" s="29"/>
      <c r="B479" s="29"/>
      <c r="C479" s="29"/>
      <c r="D479" s="29"/>
      <c r="E479" s="29"/>
    </row>
    <row r="480">
      <c r="A480" s="29"/>
      <c r="B480" s="29"/>
      <c r="C480" s="29"/>
      <c r="D480" s="29"/>
      <c r="E480" s="29"/>
    </row>
    <row r="481">
      <c r="A481" s="29"/>
      <c r="B481" s="29"/>
      <c r="C481" s="29"/>
      <c r="D481" s="29"/>
      <c r="E481" s="29"/>
    </row>
    <row r="482">
      <c r="A482" s="29"/>
      <c r="B482" s="29"/>
      <c r="C482" s="29"/>
      <c r="D482" s="29"/>
      <c r="E482" s="29"/>
    </row>
    <row r="483">
      <c r="A483" s="29"/>
      <c r="B483" s="29"/>
      <c r="C483" s="29"/>
      <c r="D483" s="29"/>
      <c r="E483" s="29"/>
    </row>
    <row r="484">
      <c r="A484" s="29"/>
      <c r="B484" s="29"/>
      <c r="C484" s="29"/>
      <c r="D484" s="29"/>
      <c r="E484" s="29"/>
    </row>
    <row r="485">
      <c r="A485" s="29"/>
      <c r="B485" s="29"/>
      <c r="C485" s="29"/>
      <c r="D485" s="29"/>
      <c r="E485" s="29"/>
    </row>
    <row r="486">
      <c r="A486" s="29"/>
      <c r="B486" s="29"/>
      <c r="C486" s="29"/>
      <c r="D486" s="29"/>
      <c r="E486" s="29"/>
    </row>
    <row r="487">
      <c r="A487" s="29"/>
      <c r="B487" s="29"/>
      <c r="C487" s="29"/>
      <c r="D487" s="29"/>
      <c r="E487" s="29"/>
    </row>
    <row r="488">
      <c r="A488" s="29"/>
      <c r="B488" s="29"/>
      <c r="C488" s="29"/>
      <c r="D488" s="29"/>
      <c r="E488" s="29"/>
    </row>
    <row r="489">
      <c r="A489" s="29"/>
      <c r="B489" s="29"/>
      <c r="C489" s="29"/>
      <c r="D489" s="29"/>
      <c r="E489" s="29"/>
    </row>
    <row r="490">
      <c r="A490" s="29"/>
      <c r="B490" s="29"/>
      <c r="C490" s="29"/>
      <c r="D490" s="29"/>
      <c r="E490" s="29"/>
    </row>
    <row r="491">
      <c r="A491" s="29"/>
      <c r="B491" s="29"/>
      <c r="C491" s="29"/>
      <c r="D491" s="29"/>
      <c r="E491" s="29"/>
    </row>
    <row r="492">
      <c r="A492" s="29"/>
      <c r="B492" s="29"/>
      <c r="C492" s="29"/>
      <c r="D492" s="29"/>
      <c r="E492" s="29"/>
    </row>
    <row r="493">
      <c r="A493" s="29"/>
      <c r="B493" s="29"/>
      <c r="C493" s="29"/>
      <c r="D493" s="29"/>
      <c r="E493" s="29"/>
    </row>
    <row r="494">
      <c r="A494" s="29"/>
      <c r="B494" s="29"/>
      <c r="C494" s="29"/>
      <c r="D494" s="29"/>
      <c r="E494" s="29"/>
    </row>
    <row r="495">
      <c r="A495" s="29"/>
      <c r="B495" s="29"/>
      <c r="C495" s="29"/>
      <c r="D495" s="29"/>
      <c r="E495" s="29"/>
    </row>
    <row r="496">
      <c r="A496" s="29"/>
      <c r="B496" s="29"/>
      <c r="C496" s="29"/>
      <c r="D496" s="29"/>
      <c r="E496" s="29"/>
    </row>
    <row r="497">
      <c r="A497" s="29"/>
      <c r="B497" s="29"/>
      <c r="C497" s="29"/>
      <c r="D497" s="29"/>
      <c r="E497" s="29"/>
    </row>
    <row r="498">
      <c r="A498" s="29"/>
      <c r="B498" s="29"/>
      <c r="C498" s="29"/>
      <c r="D498" s="29"/>
      <c r="E498" s="29"/>
    </row>
    <row r="499">
      <c r="A499" s="29"/>
      <c r="B499" s="29"/>
      <c r="C499" s="29"/>
      <c r="D499" s="29"/>
      <c r="E499" s="29"/>
    </row>
    <row r="500">
      <c r="A500" s="29"/>
      <c r="B500" s="29"/>
      <c r="C500" s="29"/>
      <c r="D500" s="29"/>
      <c r="E500" s="29"/>
    </row>
    <row r="501">
      <c r="A501" s="29"/>
      <c r="B501" s="29"/>
      <c r="C501" s="29"/>
      <c r="D501" s="29"/>
      <c r="E501" s="29"/>
    </row>
    <row r="502">
      <c r="A502" s="29"/>
      <c r="B502" s="29"/>
      <c r="C502" s="29"/>
      <c r="D502" s="29"/>
      <c r="E502" s="29"/>
    </row>
    <row r="503">
      <c r="A503" s="29"/>
      <c r="B503" s="29"/>
      <c r="C503" s="29"/>
      <c r="D503" s="29"/>
      <c r="E503" s="29"/>
    </row>
    <row r="504">
      <c r="A504" s="29"/>
      <c r="B504" s="29"/>
      <c r="C504" s="29"/>
      <c r="D504" s="29"/>
      <c r="E504" s="29"/>
    </row>
    <row r="505">
      <c r="A505" s="29"/>
      <c r="B505" s="29"/>
      <c r="C505" s="29"/>
      <c r="D505" s="29"/>
      <c r="E505" s="29"/>
    </row>
    <row r="506">
      <c r="A506" s="29"/>
      <c r="B506" s="29"/>
      <c r="C506" s="29"/>
      <c r="D506" s="29"/>
      <c r="E506" s="29"/>
    </row>
    <row r="507">
      <c r="A507" s="29"/>
      <c r="B507" s="29"/>
      <c r="C507" s="29"/>
      <c r="D507" s="29"/>
      <c r="E507" s="29"/>
    </row>
    <row r="508">
      <c r="A508" s="29"/>
      <c r="B508" s="29"/>
      <c r="C508" s="29"/>
      <c r="D508" s="29"/>
      <c r="E508" s="29"/>
    </row>
    <row r="509">
      <c r="A509" s="29"/>
      <c r="B509" s="29"/>
      <c r="C509" s="29"/>
      <c r="D509" s="29"/>
      <c r="E509" s="29"/>
    </row>
    <row r="510">
      <c r="A510" s="29"/>
      <c r="B510" s="29"/>
      <c r="C510" s="29"/>
      <c r="D510" s="29"/>
      <c r="E510" s="29"/>
    </row>
    <row r="511">
      <c r="A511" s="29"/>
      <c r="B511" s="29"/>
      <c r="C511" s="29"/>
      <c r="D511" s="29"/>
      <c r="E511" s="29"/>
    </row>
    <row r="512">
      <c r="A512" s="29"/>
      <c r="B512" s="29"/>
      <c r="C512" s="29"/>
      <c r="D512" s="29"/>
      <c r="E512" s="29"/>
    </row>
    <row r="513">
      <c r="A513" s="29"/>
      <c r="B513" s="29"/>
      <c r="C513" s="29"/>
      <c r="D513" s="29"/>
      <c r="E513" s="29"/>
    </row>
    <row r="514">
      <c r="A514" s="29"/>
      <c r="B514" s="29"/>
      <c r="C514" s="29"/>
      <c r="D514" s="29"/>
      <c r="E514" s="29"/>
    </row>
    <row r="515">
      <c r="A515" s="29"/>
      <c r="B515" s="29"/>
      <c r="C515" s="29"/>
      <c r="D515" s="29"/>
      <c r="E515" s="29"/>
    </row>
    <row r="516">
      <c r="A516" s="29"/>
      <c r="B516" s="29"/>
      <c r="C516" s="29"/>
      <c r="D516" s="29"/>
      <c r="E516" s="29"/>
    </row>
    <row r="517">
      <c r="A517" s="29"/>
      <c r="B517" s="29"/>
      <c r="C517" s="29"/>
      <c r="D517" s="29"/>
      <c r="E517" s="29"/>
    </row>
    <row r="518">
      <c r="A518" s="29"/>
      <c r="B518" s="29"/>
      <c r="C518" s="29"/>
      <c r="D518" s="29"/>
      <c r="E518" s="29"/>
    </row>
    <row r="519">
      <c r="A519" s="29"/>
      <c r="B519" s="29"/>
      <c r="C519" s="29"/>
      <c r="D519" s="29"/>
      <c r="E519" s="29"/>
    </row>
    <row r="520">
      <c r="A520" s="29"/>
      <c r="B520" s="29"/>
      <c r="C520" s="29"/>
      <c r="D520" s="29"/>
      <c r="E520" s="29"/>
    </row>
    <row r="521">
      <c r="A521" s="29"/>
      <c r="B521" s="29"/>
      <c r="C521" s="29"/>
      <c r="D521" s="29"/>
      <c r="E521" s="29"/>
    </row>
    <row r="522">
      <c r="A522" s="29"/>
      <c r="B522" s="29"/>
      <c r="C522" s="29"/>
      <c r="D522" s="29"/>
      <c r="E522" s="29"/>
    </row>
    <row r="523">
      <c r="A523" s="29"/>
      <c r="B523" s="29"/>
      <c r="C523" s="29"/>
      <c r="D523" s="29"/>
      <c r="E523" s="29"/>
    </row>
    <row r="524">
      <c r="A524" s="29"/>
      <c r="B524" s="29"/>
      <c r="C524" s="29"/>
      <c r="D524" s="29"/>
      <c r="E524" s="29"/>
    </row>
    <row r="525">
      <c r="A525" s="29"/>
      <c r="B525" s="29"/>
      <c r="C525" s="29"/>
      <c r="D525" s="29"/>
      <c r="E525" s="29"/>
    </row>
    <row r="526">
      <c r="A526" s="29"/>
      <c r="B526" s="29"/>
      <c r="C526" s="29"/>
      <c r="D526" s="29"/>
      <c r="E526" s="29"/>
    </row>
    <row r="527">
      <c r="A527" s="29"/>
      <c r="B527" s="29"/>
      <c r="C527" s="29"/>
      <c r="D527" s="29"/>
      <c r="E527" s="29"/>
    </row>
    <row r="528">
      <c r="A528" s="29"/>
      <c r="B528" s="29"/>
      <c r="C528" s="29"/>
      <c r="D528" s="29"/>
      <c r="E528" s="29"/>
    </row>
    <row r="529">
      <c r="A529" s="29"/>
      <c r="B529" s="29"/>
      <c r="C529" s="29"/>
      <c r="D529" s="29"/>
      <c r="E529" s="29"/>
    </row>
    <row r="530">
      <c r="A530" s="29"/>
      <c r="B530" s="29"/>
      <c r="C530" s="29"/>
      <c r="D530" s="29"/>
      <c r="E530" s="29"/>
    </row>
    <row r="531">
      <c r="A531" s="29"/>
      <c r="B531" s="29"/>
      <c r="C531" s="29"/>
      <c r="D531" s="29"/>
      <c r="E531" s="29"/>
    </row>
    <row r="532">
      <c r="A532" s="29"/>
      <c r="B532" s="29"/>
      <c r="C532" s="29"/>
      <c r="D532" s="29"/>
      <c r="E532" s="29"/>
    </row>
    <row r="533">
      <c r="A533" s="29"/>
      <c r="B533" s="29"/>
      <c r="C533" s="29"/>
      <c r="D533" s="29"/>
      <c r="E533" s="29"/>
    </row>
    <row r="534">
      <c r="A534" s="29"/>
      <c r="B534" s="29"/>
      <c r="C534" s="29"/>
      <c r="D534" s="29"/>
      <c r="E534" s="29"/>
    </row>
    <row r="535">
      <c r="A535" s="29"/>
      <c r="B535" s="29"/>
      <c r="C535" s="29"/>
      <c r="D535" s="29"/>
      <c r="E535" s="29"/>
    </row>
    <row r="536">
      <c r="A536" s="29"/>
      <c r="B536" s="29"/>
      <c r="C536" s="29"/>
      <c r="D536" s="29"/>
      <c r="E536" s="29"/>
    </row>
    <row r="537">
      <c r="A537" s="29"/>
      <c r="B537" s="29"/>
      <c r="C537" s="29"/>
      <c r="D537" s="29"/>
      <c r="E537" s="29"/>
    </row>
    <row r="538">
      <c r="A538" s="29"/>
      <c r="B538" s="29"/>
      <c r="C538" s="29"/>
      <c r="D538" s="29"/>
      <c r="E538" s="29"/>
    </row>
    <row r="539">
      <c r="A539" s="29"/>
      <c r="B539" s="29"/>
      <c r="C539" s="29"/>
      <c r="D539" s="29"/>
      <c r="E539" s="29"/>
    </row>
    <row r="540">
      <c r="A540" s="29"/>
      <c r="B540" s="29"/>
      <c r="C540" s="29"/>
      <c r="D540" s="29"/>
      <c r="E540" s="29"/>
    </row>
    <row r="541">
      <c r="A541" s="29"/>
      <c r="B541" s="29"/>
      <c r="C541" s="29"/>
      <c r="D541" s="29"/>
      <c r="E541" s="29"/>
    </row>
    <row r="542">
      <c r="A542" s="29"/>
      <c r="B542" s="29"/>
      <c r="C542" s="29"/>
      <c r="D542" s="29"/>
      <c r="E542" s="29"/>
    </row>
    <row r="543">
      <c r="A543" s="29"/>
      <c r="B543" s="29"/>
      <c r="C543" s="29"/>
      <c r="D543" s="29"/>
      <c r="E543" s="29"/>
    </row>
    <row r="544">
      <c r="A544" s="29"/>
      <c r="B544" s="29"/>
      <c r="C544" s="29"/>
      <c r="D544" s="29"/>
      <c r="E544" s="29"/>
    </row>
    <row r="545">
      <c r="A545" s="29"/>
      <c r="B545" s="29"/>
      <c r="C545" s="29"/>
      <c r="D545" s="29"/>
      <c r="E545" s="29"/>
    </row>
    <row r="546">
      <c r="A546" s="29"/>
      <c r="B546" s="29"/>
      <c r="C546" s="29"/>
      <c r="D546" s="29"/>
      <c r="E546" s="29"/>
    </row>
    <row r="547">
      <c r="A547" s="29"/>
      <c r="B547" s="29"/>
      <c r="C547" s="29"/>
      <c r="D547" s="29"/>
      <c r="E547" s="29"/>
    </row>
    <row r="548">
      <c r="A548" s="29"/>
      <c r="B548" s="29"/>
      <c r="C548" s="29"/>
      <c r="D548" s="29"/>
      <c r="E548" s="29"/>
    </row>
    <row r="549">
      <c r="A549" s="29"/>
      <c r="B549" s="29"/>
      <c r="C549" s="29"/>
      <c r="D549" s="29"/>
      <c r="E549" s="29"/>
    </row>
    <row r="550">
      <c r="A550" s="29"/>
      <c r="B550" s="29"/>
      <c r="C550" s="29"/>
      <c r="D550" s="29"/>
      <c r="E550" s="29"/>
    </row>
    <row r="551">
      <c r="A551" s="29"/>
      <c r="B551" s="29"/>
      <c r="C551" s="29"/>
      <c r="D551" s="29"/>
      <c r="E551" s="29"/>
    </row>
    <row r="552">
      <c r="A552" s="29"/>
      <c r="B552" s="29"/>
      <c r="C552" s="29"/>
      <c r="D552" s="29"/>
      <c r="E552" s="29"/>
    </row>
    <row r="553">
      <c r="A553" s="29"/>
      <c r="B553" s="29"/>
      <c r="C553" s="29"/>
      <c r="D553" s="29"/>
      <c r="E553" s="29"/>
    </row>
    <row r="554">
      <c r="A554" s="29"/>
      <c r="B554" s="29"/>
      <c r="C554" s="29"/>
      <c r="D554" s="29"/>
      <c r="E554" s="29"/>
    </row>
    <row r="555">
      <c r="A555" s="29"/>
      <c r="B555" s="29"/>
      <c r="C555" s="29"/>
      <c r="D555" s="29"/>
      <c r="E555" s="29"/>
    </row>
    <row r="556">
      <c r="A556" s="29"/>
      <c r="B556" s="29"/>
      <c r="C556" s="29"/>
      <c r="D556" s="29"/>
      <c r="E556" s="29"/>
    </row>
    <row r="557">
      <c r="A557" s="29"/>
      <c r="B557" s="29"/>
      <c r="C557" s="29"/>
      <c r="D557" s="29"/>
      <c r="E557" s="29"/>
    </row>
    <row r="558">
      <c r="A558" s="29"/>
      <c r="B558" s="29"/>
      <c r="C558" s="29"/>
      <c r="D558" s="29"/>
      <c r="E558" s="29"/>
    </row>
    <row r="559">
      <c r="A559" s="29"/>
      <c r="B559" s="29"/>
      <c r="C559" s="29"/>
      <c r="D559" s="29"/>
      <c r="E559" s="29"/>
    </row>
    <row r="560">
      <c r="A560" s="29"/>
      <c r="B560" s="29"/>
      <c r="C560" s="29"/>
      <c r="D560" s="29"/>
      <c r="E560" s="29"/>
    </row>
    <row r="561">
      <c r="A561" s="29"/>
      <c r="B561" s="29"/>
      <c r="C561" s="29"/>
      <c r="D561" s="29"/>
      <c r="E561" s="29"/>
    </row>
    <row r="562">
      <c r="A562" s="29"/>
      <c r="B562" s="29"/>
      <c r="C562" s="29"/>
      <c r="D562" s="29"/>
      <c r="E562" s="29"/>
    </row>
    <row r="563">
      <c r="A563" s="29"/>
      <c r="B563" s="29"/>
      <c r="C563" s="29"/>
      <c r="D563" s="29"/>
      <c r="E563" s="29"/>
    </row>
    <row r="564">
      <c r="A564" s="29"/>
      <c r="B564" s="29"/>
      <c r="C564" s="29"/>
      <c r="D564" s="29"/>
      <c r="E564" s="29"/>
    </row>
    <row r="565">
      <c r="A565" s="29"/>
      <c r="B565" s="29"/>
      <c r="C565" s="29"/>
      <c r="D565" s="29"/>
      <c r="E565" s="29"/>
    </row>
    <row r="566">
      <c r="A566" s="29"/>
      <c r="B566" s="29"/>
      <c r="C566" s="29"/>
      <c r="D566" s="29"/>
      <c r="E566" s="29"/>
    </row>
    <row r="567">
      <c r="A567" s="29"/>
      <c r="B567" s="29"/>
      <c r="C567" s="29"/>
      <c r="D567" s="29"/>
      <c r="E567" s="29"/>
    </row>
    <row r="568">
      <c r="A568" s="29"/>
      <c r="B568" s="29"/>
      <c r="C568" s="29"/>
      <c r="D568" s="29"/>
      <c r="E568" s="29"/>
    </row>
    <row r="569">
      <c r="A569" s="29"/>
      <c r="B569" s="29"/>
      <c r="C569" s="29"/>
      <c r="D569" s="29"/>
      <c r="E569" s="29"/>
    </row>
    <row r="570">
      <c r="A570" s="29"/>
      <c r="B570" s="29"/>
      <c r="C570" s="29"/>
      <c r="D570" s="29"/>
      <c r="E570" s="29"/>
    </row>
    <row r="571">
      <c r="A571" s="29"/>
      <c r="B571" s="29"/>
      <c r="C571" s="29"/>
      <c r="D571" s="29"/>
      <c r="E571" s="29"/>
    </row>
    <row r="572">
      <c r="A572" s="29"/>
      <c r="B572" s="29"/>
      <c r="C572" s="29"/>
      <c r="D572" s="29"/>
      <c r="E572" s="29"/>
    </row>
    <row r="573">
      <c r="A573" s="29"/>
      <c r="B573" s="29"/>
      <c r="C573" s="29"/>
      <c r="D573" s="29"/>
      <c r="E573" s="29"/>
    </row>
    <row r="574">
      <c r="A574" s="29"/>
      <c r="B574" s="29"/>
      <c r="C574" s="29"/>
      <c r="D574" s="29"/>
      <c r="E574" s="29"/>
    </row>
    <row r="575">
      <c r="A575" s="29"/>
      <c r="B575" s="29"/>
      <c r="C575" s="29"/>
      <c r="D575" s="29"/>
      <c r="E575" s="29"/>
    </row>
    <row r="576">
      <c r="A576" s="29"/>
      <c r="B576" s="29"/>
      <c r="C576" s="29"/>
      <c r="D576" s="29"/>
      <c r="E576" s="29"/>
    </row>
    <row r="577">
      <c r="A577" s="29"/>
      <c r="B577" s="29"/>
      <c r="C577" s="29"/>
      <c r="D577" s="29"/>
      <c r="E577" s="29"/>
    </row>
    <row r="578">
      <c r="A578" s="29"/>
      <c r="B578" s="29"/>
      <c r="C578" s="29"/>
      <c r="D578" s="29"/>
      <c r="E578" s="29"/>
    </row>
    <row r="579">
      <c r="A579" s="29"/>
      <c r="B579" s="29"/>
      <c r="C579" s="29"/>
      <c r="D579" s="29"/>
      <c r="E579" s="29"/>
    </row>
    <row r="580">
      <c r="A580" s="29"/>
      <c r="B580" s="29"/>
      <c r="C580" s="29"/>
      <c r="D580" s="29"/>
      <c r="E580" s="29"/>
    </row>
    <row r="581">
      <c r="A581" s="29"/>
      <c r="B581" s="29"/>
      <c r="C581" s="29"/>
      <c r="D581" s="29"/>
      <c r="E581" s="29"/>
    </row>
    <row r="582">
      <c r="A582" s="29"/>
      <c r="B582" s="29"/>
      <c r="C582" s="29"/>
      <c r="D582" s="29"/>
      <c r="E582" s="29"/>
    </row>
    <row r="583">
      <c r="A583" s="29"/>
      <c r="B583" s="29"/>
      <c r="C583" s="29"/>
      <c r="D583" s="29"/>
      <c r="E583" s="29"/>
    </row>
    <row r="584">
      <c r="A584" s="29"/>
      <c r="B584" s="29"/>
      <c r="C584" s="29"/>
      <c r="D584" s="29"/>
      <c r="E584" s="29"/>
    </row>
    <row r="585">
      <c r="A585" s="29"/>
      <c r="B585" s="29"/>
      <c r="C585" s="29"/>
      <c r="D585" s="29"/>
      <c r="E585" s="29"/>
    </row>
    <row r="586">
      <c r="A586" s="29"/>
      <c r="B586" s="29"/>
      <c r="C586" s="29"/>
      <c r="D586" s="29"/>
      <c r="E586" s="29"/>
    </row>
    <row r="587">
      <c r="A587" s="29"/>
      <c r="B587" s="29"/>
      <c r="C587" s="29"/>
      <c r="D587" s="29"/>
      <c r="E587" s="29"/>
    </row>
    <row r="588">
      <c r="A588" s="29"/>
      <c r="B588" s="29"/>
      <c r="C588" s="29"/>
      <c r="D588" s="29"/>
      <c r="E588" s="29"/>
    </row>
    <row r="589">
      <c r="A589" s="29"/>
      <c r="B589" s="29"/>
      <c r="C589" s="29"/>
      <c r="D589" s="29"/>
      <c r="E589" s="29"/>
    </row>
    <row r="590">
      <c r="A590" s="29"/>
      <c r="B590" s="29"/>
      <c r="C590" s="29"/>
      <c r="D590" s="29"/>
      <c r="E590" s="29"/>
    </row>
    <row r="591">
      <c r="A591" s="29"/>
      <c r="B591" s="29"/>
      <c r="C591" s="29"/>
      <c r="D591" s="29"/>
      <c r="E591" s="29"/>
    </row>
    <row r="592">
      <c r="A592" s="29"/>
      <c r="B592" s="29"/>
      <c r="C592" s="29"/>
      <c r="D592" s="29"/>
      <c r="E592" s="29"/>
    </row>
    <row r="593">
      <c r="A593" s="29"/>
      <c r="B593" s="29"/>
      <c r="C593" s="29"/>
      <c r="D593" s="29"/>
      <c r="E593" s="29"/>
    </row>
    <row r="594">
      <c r="A594" s="29"/>
      <c r="B594" s="29"/>
      <c r="C594" s="29"/>
      <c r="D594" s="29"/>
      <c r="E594" s="29"/>
    </row>
    <row r="595">
      <c r="A595" s="29"/>
      <c r="B595" s="29"/>
      <c r="C595" s="29"/>
      <c r="D595" s="29"/>
      <c r="E595" s="29"/>
    </row>
    <row r="596">
      <c r="A596" s="29"/>
      <c r="B596" s="29"/>
      <c r="C596" s="29"/>
      <c r="D596" s="29"/>
      <c r="E596" s="29"/>
    </row>
    <row r="597">
      <c r="A597" s="29"/>
      <c r="B597" s="29"/>
      <c r="C597" s="29"/>
      <c r="D597" s="29"/>
      <c r="E597" s="29"/>
    </row>
    <row r="598">
      <c r="A598" s="29"/>
      <c r="B598" s="29"/>
      <c r="C598" s="29"/>
      <c r="D598" s="29"/>
      <c r="E598" s="29"/>
    </row>
    <row r="599">
      <c r="A599" s="29"/>
      <c r="B599" s="29"/>
      <c r="C599" s="29"/>
      <c r="D599" s="29"/>
      <c r="E599" s="29"/>
    </row>
    <row r="600">
      <c r="A600" s="29"/>
      <c r="B600" s="29"/>
      <c r="C600" s="29"/>
      <c r="D600" s="29"/>
      <c r="E600" s="29"/>
    </row>
    <row r="601">
      <c r="A601" s="29"/>
      <c r="B601" s="29"/>
      <c r="C601" s="29"/>
      <c r="D601" s="29"/>
      <c r="E601" s="29"/>
    </row>
    <row r="602">
      <c r="A602" s="29"/>
      <c r="B602" s="29"/>
      <c r="C602" s="29"/>
      <c r="D602" s="29"/>
      <c r="E602" s="29"/>
    </row>
    <row r="603">
      <c r="A603" s="29"/>
      <c r="B603" s="29"/>
      <c r="C603" s="29"/>
      <c r="D603" s="29"/>
      <c r="E603" s="29"/>
    </row>
    <row r="604">
      <c r="A604" s="29"/>
      <c r="B604" s="29"/>
      <c r="C604" s="29"/>
      <c r="D604" s="29"/>
      <c r="E604" s="29"/>
    </row>
    <row r="605">
      <c r="A605" s="29"/>
      <c r="B605" s="29"/>
      <c r="C605" s="29"/>
      <c r="D605" s="29"/>
      <c r="E605" s="29"/>
    </row>
    <row r="606">
      <c r="A606" s="29"/>
      <c r="B606" s="29"/>
      <c r="C606" s="29"/>
      <c r="D606" s="29"/>
      <c r="E606" s="29"/>
    </row>
    <row r="607">
      <c r="A607" s="29"/>
      <c r="B607" s="29"/>
      <c r="C607" s="29"/>
      <c r="D607" s="29"/>
      <c r="E607" s="29"/>
    </row>
    <row r="608">
      <c r="A608" s="29"/>
      <c r="B608" s="29"/>
      <c r="C608" s="29"/>
      <c r="D608" s="29"/>
      <c r="E608" s="29"/>
    </row>
    <row r="609">
      <c r="A609" s="29"/>
      <c r="B609" s="29"/>
      <c r="C609" s="29"/>
      <c r="D609" s="29"/>
      <c r="E609" s="29"/>
    </row>
    <row r="610">
      <c r="A610" s="29"/>
      <c r="B610" s="29"/>
      <c r="C610" s="29"/>
      <c r="D610" s="29"/>
      <c r="E610" s="29"/>
    </row>
    <row r="611">
      <c r="A611" s="29"/>
      <c r="B611" s="29"/>
      <c r="C611" s="29"/>
      <c r="D611" s="29"/>
      <c r="E611" s="29"/>
    </row>
    <row r="612">
      <c r="A612" s="29"/>
      <c r="B612" s="29"/>
      <c r="C612" s="29"/>
      <c r="D612" s="29"/>
      <c r="E612" s="29"/>
    </row>
    <row r="613">
      <c r="A613" s="29"/>
      <c r="B613" s="29"/>
      <c r="C613" s="29"/>
      <c r="D613" s="29"/>
      <c r="E613" s="29"/>
    </row>
    <row r="614">
      <c r="A614" s="29"/>
      <c r="B614" s="29"/>
      <c r="C614" s="29"/>
      <c r="D614" s="29"/>
      <c r="E614" s="29"/>
    </row>
    <row r="615">
      <c r="A615" s="29"/>
      <c r="B615" s="29"/>
      <c r="C615" s="29"/>
      <c r="D615" s="29"/>
      <c r="E615" s="29"/>
    </row>
    <row r="616">
      <c r="A616" s="29"/>
      <c r="B616" s="29"/>
      <c r="C616" s="29"/>
      <c r="D616" s="29"/>
      <c r="E616" s="29"/>
    </row>
    <row r="617">
      <c r="A617" s="29"/>
      <c r="B617" s="29"/>
      <c r="C617" s="29"/>
      <c r="D617" s="29"/>
      <c r="E617" s="29"/>
    </row>
    <row r="618">
      <c r="A618" s="29"/>
      <c r="B618" s="29"/>
      <c r="C618" s="29"/>
      <c r="D618" s="29"/>
      <c r="E618" s="29"/>
    </row>
    <row r="619">
      <c r="A619" s="29"/>
      <c r="B619" s="29"/>
      <c r="C619" s="29"/>
      <c r="D619" s="29"/>
      <c r="E619" s="29"/>
    </row>
    <row r="620">
      <c r="A620" s="29"/>
      <c r="B620" s="29"/>
      <c r="C620" s="29"/>
      <c r="D620" s="29"/>
      <c r="E620" s="29"/>
    </row>
    <row r="621">
      <c r="A621" s="29"/>
      <c r="B621" s="29"/>
      <c r="C621" s="29"/>
      <c r="D621" s="29"/>
      <c r="E621" s="29"/>
    </row>
    <row r="622">
      <c r="A622" s="29"/>
      <c r="B622" s="29"/>
      <c r="C622" s="29"/>
      <c r="D622" s="29"/>
      <c r="E622" s="29"/>
    </row>
    <row r="623">
      <c r="A623" s="29"/>
      <c r="B623" s="29"/>
      <c r="C623" s="29"/>
      <c r="D623" s="29"/>
      <c r="E623" s="29"/>
    </row>
    <row r="624">
      <c r="A624" s="29"/>
      <c r="B624" s="29"/>
      <c r="C624" s="29"/>
      <c r="D624" s="29"/>
      <c r="E624" s="29"/>
    </row>
    <row r="625">
      <c r="A625" s="29"/>
      <c r="B625" s="29"/>
      <c r="C625" s="29"/>
      <c r="D625" s="29"/>
      <c r="E625" s="29"/>
    </row>
    <row r="626">
      <c r="A626" s="29"/>
      <c r="B626" s="29"/>
      <c r="C626" s="29"/>
      <c r="D626" s="29"/>
      <c r="E626" s="29"/>
    </row>
    <row r="627">
      <c r="A627" s="29"/>
      <c r="B627" s="29"/>
      <c r="C627" s="29"/>
      <c r="D627" s="29"/>
      <c r="E627" s="29"/>
    </row>
    <row r="628">
      <c r="A628" s="29"/>
      <c r="B628" s="29"/>
      <c r="C628" s="29"/>
      <c r="D628" s="29"/>
      <c r="E628" s="29"/>
    </row>
    <row r="629">
      <c r="A629" s="29"/>
      <c r="B629" s="29"/>
      <c r="C629" s="29"/>
      <c r="D629" s="29"/>
      <c r="E629" s="29"/>
    </row>
    <row r="630">
      <c r="A630" s="29"/>
      <c r="B630" s="29"/>
      <c r="C630" s="29"/>
      <c r="D630" s="29"/>
      <c r="E630" s="29"/>
    </row>
    <row r="631">
      <c r="A631" s="29"/>
      <c r="B631" s="29"/>
      <c r="C631" s="29"/>
      <c r="D631" s="29"/>
      <c r="E631" s="29"/>
    </row>
    <row r="632">
      <c r="A632" s="29"/>
      <c r="B632" s="29"/>
      <c r="C632" s="29"/>
      <c r="D632" s="29"/>
      <c r="E632" s="29"/>
    </row>
    <row r="633">
      <c r="A633" s="29"/>
      <c r="B633" s="29"/>
      <c r="C633" s="29"/>
      <c r="D633" s="29"/>
      <c r="E633" s="29"/>
    </row>
    <row r="634">
      <c r="A634" s="29"/>
      <c r="B634" s="29"/>
      <c r="C634" s="29"/>
      <c r="D634" s="29"/>
      <c r="E634" s="29"/>
    </row>
    <row r="635">
      <c r="A635" s="29"/>
      <c r="B635" s="29"/>
      <c r="C635" s="29"/>
      <c r="D635" s="29"/>
      <c r="E635" s="29"/>
    </row>
    <row r="636">
      <c r="A636" s="29"/>
      <c r="B636" s="29"/>
      <c r="C636" s="29"/>
      <c r="D636" s="29"/>
      <c r="E636" s="29"/>
    </row>
    <row r="637">
      <c r="A637" s="29"/>
      <c r="B637" s="29"/>
      <c r="C637" s="29"/>
      <c r="D637" s="29"/>
      <c r="E637" s="29"/>
    </row>
    <row r="638">
      <c r="A638" s="29"/>
      <c r="B638" s="29"/>
      <c r="C638" s="29"/>
      <c r="D638" s="29"/>
      <c r="E638" s="29"/>
    </row>
    <row r="639">
      <c r="A639" s="29"/>
      <c r="B639" s="29"/>
      <c r="C639" s="29"/>
      <c r="D639" s="29"/>
      <c r="E639" s="29"/>
    </row>
    <row r="640">
      <c r="A640" s="29"/>
      <c r="B640" s="29"/>
      <c r="C640" s="29"/>
      <c r="D640" s="29"/>
      <c r="E640" s="29"/>
    </row>
    <row r="641">
      <c r="A641" s="29"/>
      <c r="B641" s="29"/>
      <c r="C641" s="29"/>
      <c r="D641" s="29"/>
      <c r="E641" s="29"/>
    </row>
    <row r="642">
      <c r="A642" s="29"/>
      <c r="B642" s="29"/>
      <c r="C642" s="29"/>
      <c r="D642" s="29"/>
      <c r="E642" s="29"/>
    </row>
    <row r="643">
      <c r="A643" s="29"/>
      <c r="B643" s="29"/>
      <c r="C643" s="29"/>
      <c r="D643" s="29"/>
      <c r="E643" s="29"/>
    </row>
    <row r="644">
      <c r="A644" s="29"/>
      <c r="B644" s="29"/>
      <c r="C644" s="29"/>
      <c r="D644" s="29"/>
      <c r="E644" s="29"/>
    </row>
    <row r="645">
      <c r="A645" s="29"/>
      <c r="B645" s="29"/>
      <c r="C645" s="29"/>
      <c r="D645" s="29"/>
      <c r="E645" s="29"/>
    </row>
    <row r="646">
      <c r="A646" s="29"/>
      <c r="B646" s="29"/>
      <c r="C646" s="29"/>
      <c r="D646" s="29"/>
      <c r="E646" s="29"/>
    </row>
    <row r="647">
      <c r="A647" s="29"/>
      <c r="B647" s="29"/>
      <c r="C647" s="29"/>
      <c r="D647" s="29"/>
      <c r="E647" s="29"/>
    </row>
    <row r="648">
      <c r="A648" s="29"/>
      <c r="B648" s="29"/>
      <c r="C648" s="29"/>
      <c r="D648" s="29"/>
      <c r="E648" s="29"/>
    </row>
    <row r="649">
      <c r="A649" s="29"/>
      <c r="B649" s="29"/>
      <c r="C649" s="29"/>
      <c r="D649" s="29"/>
      <c r="E649" s="29"/>
    </row>
    <row r="650">
      <c r="A650" s="29"/>
      <c r="B650" s="29"/>
      <c r="C650" s="29"/>
      <c r="D650" s="29"/>
      <c r="E650" s="29"/>
    </row>
    <row r="651">
      <c r="A651" s="29"/>
      <c r="B651" s="29"/>
      <c r="C651" s="29"/>
      <c r="D651" s="29"/>
      <c r="E651" s="29"/>
    </row>
    <row r="652">
      <c r="A652" s="29"/>
      <c r="B652" s="29"/>
      <c r="C652" s="29"/>
      <c r="D652" s="29"/>
      <c r="E652" s="29"/>
    </row>
    <row r="653">
      <c r="A653" s="29"/>
      <c r="B653" s="29"/>
      <c r="C653" s="29"/>
      <c r="D653" s="29"/>
      <c r="E653" s="29"/>
    </row>
    <row r="654">
      <c r="A654" s="29"/>
      <c r="B654" s="29"/>
      <c r="C654" s="29"/>
      <c r="D654" s="29"/>
      <c r="E654" s="29"/>
    </row>
    <row r="655">
      <c r="A655" s="29"/>
      <c r="B655" s="29"/>
      <c r="C655" s="29"/>
      <c r="D655" s="29"/>
      <c r="E655" s="29"/>
    </row>
    <row r="656">
      <c r="A656" s="29"/>
      <c r="B656" s="29"/>
      <c r="C656" s="29"/>
      <c r="D656" s="29"/>
      <c r="E656" s="29"/>
    </row>
    <row r="657">
      <c r="A657" s="29"/>
      <c r="B657" s="29"/>
      <c r="C657" s="29"/>
      <c r="D657" s="29"/>
      <c r="E657" s="29"/>
    </row>
    <row r="658">
      <c r="A658" s="29"/>
      <c r="B658" s="29"/>
      <c r="C658" s="29"/>
      <c r="D658" s="29"/>
      <c r="E658" s="29"/>
    </row>
    <row r="659">
      <c r="A659" s="29"/>
      <c r="B659" s="29"/>
      <c r="C659" s="29"/>
      <c r="D659" s="29"/>
      <c r="E659" s="29"/>
    </row>
    <row r="660">
      <c r="A660" s="29"/>
      <c r="B660" s="29"/>
      <c r="C660" s="29"/>
      <c r="D660" s="29"/>
      <c r="E660" s="29"/>
    </row>
    <row r="661">
      <c r="A661" s="29"/>
      <c r="B661" s="29"/>
      <c r="C661" s="29"/>
      <c r="D661" s="29"/>
      <c r="E661" s="29"/>
    </row>
    <row r="662">
      <c r="A662" s="29"/>
      <c r="B662" s="29"/>
      <c r="C662" s="29"/>
      <c r="D662" s="29"/>
      <c r="E662" s="29"/>
    </row>
    <row r="663">
      <c r="A663" s="29"/>
      <c r="B663" s="29"/>
      <c r="C663" s="29"/>
      <c r="D663" s="29"/>
      <c r="E663" s="29"/>
    </row>
    <row r="664">
      <c r="A664" s="29"/>
      <c r="B664" s="29"/>
      <c r="C664" s="29"/>
      <c r="D664" s="29"/>
      <c r="E664" s="29"/>
    </row>
    <row r="665">
      <c r="A665" s="29"/>
      <c r="B665" s="29"/>
      <c r="C665" s="29"/>
      <c r="D665" s="29"/>
      <c r="E665" s="29"/>
    </row>
    <row r="666">
      <c r="A666" s="29"/>
      <c r="B666" s="29"/>
      <c r="C666" s="29"/>
      <c r="D666" s="29"/>
      <c r="E666" s="29"/>
    </row>
    <row r="667">
      <c r="A667" s="29"/>
      <c r="B667" s="29"/>
      <c r="C667" s="29"/>
      <c r="D667" s="29"/>
      <c r="E667" s="29"/>
    </row>
    <row r="668">
      <c r="A668" s="29"/>
      <c r="B668" s="29"/>
      <c r="C668" s="29"/>
      <c r="D668" s="29"/>
      <c r="E668" s="29"/>
    </row>
    <row r="669">
      <c r="A669" s="29"/>
      <c r="B669" s="29"/>
      <c r="C669" s="29"/>
      <c r="D669" s="29"/>
      <c r="E669" s="29"/>
    </row>
    <row r="670">
      <c r="A670" s="29"/>
      <c r="B670" s="29"/>
      <c r="C670" s="29"/>
      <c r="D670" s="29"/>
      <c r="E670" s="29"/>
    </row>
    <row r="671">
      <c r="A671" s="29"/>
      <c r="B671" s="29"/>
      <c r="C671" s="29"/>
      <c r="D671" s="29"/>
      <c r="E671" s="29"/>
    </row>
    <row r="672">
      <c r="A672" s="29"/>
      <c r="B672" s="29"/>
      <c r="C672" s="29"/>
      <c r="D672" s="29"/>
      <c r="E672" s="29"/>
    </row>
    <row r="673">
      <c r="A673" s="29"/>
      <c r="B673" s="29"/>
      <c r="C673" s="29"/>
      <c r="D673" s="29"/>
      <c r="E673" s="29"/>
    </row>
    <row r="674">
      <c r="A674" s="29"/>
      <c r="B674" s="29"/>
      <c r="C674" s="29"/>
      <c r="D674" s="29"/>
      <c r="E674" s="29"/>
    </row>
    <row r="675">
      <c r="A675" s="29"/>
      <c r="B675" s="29"/>
      <c r="C675" s="29"/>
      <c r="D675" s="29"/>
      <c r="E675" s="29"/>
    </row>
    <row r="676">
      <c r="A676" s="29"/>
      <c r="B676" s="29"/>
      <c r="C676" s="29"/>
      <c r="D676" s="29"/>
      <c r="E676" s="29"/>
    </row>
    <row r="677">
      <c r="A677" s="29"/>
      <c r="B677" s="29"/>
      <c r="C677" s="29"/>
      <c r="D677" s="29"/>
      <c r="E677" s="29"/>
    </row>
    <row r="678">
      <c r="A678" s="29"/>
      <c r="B678" s="29"/>
      <c r="C678" s="29"/>
      <c r="D678" s="29"/>
      <c r="E678" s="29"/>
    </row>
    <row r="679">
      <c r="A679" s="29"/>
      <c r="B679" s="29"/>
      <c r="C679" s="29"/>
      <c r="D679" s="29"/>
      <c r="E679" s="29"/>
    </row>
    <row r="680">
      <c r="A680" s="29"/>
      <c r="B680" s="29"/>
      <c r="C680" s="29"/>
      <c r="D680" s="29"/>
      <c r="E680" s="29"/>
    </row>
    <row r="681">
      <c r="A681" s="29"/>
      <c r="B681" s="29"/>
      <c r="C681" s="29"/>
      <c r="D681" s="29"/>
      <c r="E681" s="29"/>
    </row>
    <row r="682">
      <c r="A682" s="29"/>
      <c r="B682" s="29"/>
      <c r="C682" s="29"/>
      <c r="D682" s="29"/>
      <c r="E682" s="29"/>
    </row>
    <row r="683">
      <c r="A683" s="29"/>
      <c r="B683" s="29"/>
      <c r="C683" s="29"/>
      <c r="D683" s="29"/>
      <c r="E683" s="29"/>
    </row>
    <row r="684">
      <c r="A684" s="29"/>
      <c r="B684" s="29"/>
      <c r="C684" s="29"/>
      <c r="D684" s="29"/>
      <c r="E684" s="29"/>
    </row>
    <row r="685">
      <c r="A685" s="29"/>
      <c r="B685" s="29"/>
      <c r="C685" s="29"/>
      <c r="D685" s="29"/>
      <c r="E685" s="29"/>
    </row>
    <row r="686">
      <c r="A686" s="29"/>
      <c r="B686" s="29"/>
      <c r="C686" s="29"/>
      <c r="D686" s="29"/>
      <c r="E686" s="29"/>
    </row>
    <row r="687">
      <c r="A687" s="29"/>
      <c r="B687" s="29"/>
      <c r="C687" s="29"/>
      <c r="D687" s="29"/>
      <c r="E687" s="29"/>
    </row>
    <row r="688">
      <c r="A688" s="29"/>
      <c r="B688" s="29"/>
      <c r="C688" s="29"/>
      <c r="D688" s="29"/>
      <c r="E688" s="29"/>
    </row>
    <row r="689">
      <c r="A689" s="29"/>
      <c r="B689" s="29"/>
      <c r="C689" s="29"/>
      <c r="D689" s="29"/>
      <c r="E689" s="29"/>
    </row>
    <row r="690">
      <c r="A690" s="29"/>
      <c r="B690" s="29"/>
      <c r="C690" s="29"/>
      <c r="D690" s="29"/>
      <c r="E690" s="29"/>
    </row>
    <row r="691">
      <c r="A691" s="29"/>
      <c r="B691" s="29"/>
      <c r="C691" s="29"/>
      <c r="D691" s="29"/>
      <c r="E691" s="29"/>
    </row>
    <row r="692">
      <c r="A692" s="29"/>
      <c r="B692" s="29"/>
      <c r="C692" s="29"/>
      <c r="D692" s="29"/>
      <c r="E692" s="29"/>
    </row>
    <row r="693">
      <c r="A693" s="29"/>
      <c r="B693" s="29"/>
      <c r="C693" s="29"/>
      <c r="D693" s="29"/>
      <c r="E693" s="29"/>
    </row>
    <row r="694">
      <c r="A694" s="29"/>
      <c r="B694" s="29"/>
      <c r="C694" s="29"/>
      <c r="D694" s="29"/>
      <c r="E694" s="29"/>
    </row>
    <row r="695">
      <c r="A695" s="29"/>
      <c r="B695" s="29"/>
      <c r="C695" s="29"/>
      <c r="D695" s="29"/>
      <c r="E695" s="29"/>
    </row>
    <row r="696">
      <c r="A696" s="29"/>
      <c r="B696" s="29"/>
      <c r="C696" s="29"/>
      <c r="D696" s="29"/>
      <c r="E696" s="29"/>
    </row>
    <row r="697">
      <c r="A697" s="29"/>
      <c r="B697" s="29"/>
      <c r="C697" s="29"/>
      <c r="D697" s="29"/>
      <c r="E697" s="29"/>
    </row>
    <row r="698">
      <c r="A698" s="29"/>
      <c r="B698" s="29"/>
      <c r="C698" s="29"/>
      <c r="D698" s="29"/>
      <c r="E698" s="29"/>
    </row>
    <row r="699">
      <c r="A699" s="29"/>
      <c r="B699" s="29"/>
      <c r="C699" s="29"/>
      <c r="D699" s="29"/>
      <c r="E699" s="29"/>
    </row>
    <row r="700">
      <c r="A700" s="29"/>
      <c r="B700" s="29"/>
      <c r="C700" s="29"/>
      <c r="D700" s="29"/>
      <c r="E700" s="29"/>
    </row>
    <row r="701">
      <c r="A701" s="29"/>
      <c r="B701" s="29"/>
      <c r="C701" s="29"/>
      <c r="D701" s="29"/>
      <c r="E701" s="29"/>
    </row>
    <row r="702">
      <c r="A702" s="29"/>
      <c r="B702" s="29"/>
      <c r="C702" s="29"/>
      <c r="D702" s="29"/>
      <c r="E702" s="29"/>
    </row>
    <row r="703">
      <c r="A703" s="29"/>
      <c r="B703" s="29"/>
      <c r="C703" s="29"/>
      <c r="D703" s="29"/>
      <c r="E703" s="29"/>
    </row>
    <row r="704">
      <c r="A704" s="29"/>
      <c r="B704" s="29"/>
      <c r="C704" s="29"/>
      <c r="D704" s="29"/>
      <c r="E704" s="29"/>
    </row>
    <row r="705">
      <c r="A705" s="29"/>
      <c r="B705" s="29"/>
      <c r="C705" s="29"/>
      <c r="D705" s="29"/>
      <c r="E705" s="29"/>
    </row>
    <row r="706">
      <c r="A706" s="29"/>
      <c r="B706" s="29"/>
      <c r="C706" s="29"/>
      <c r="D706" s="29"/>
      <c r="E706" s="29"/>
    </row>
    <row r="707">
      <c r="A707" s="29"/>
      <c r="B707" s="29"/>
      <c r="C707" s="29"/>
      <c r="D707" s="29"/>
      <c r="E707" s="29"/>
    </row>
    <row r="708">
      <c r="A708" s="29"/>
      <c r="B708" s="29"/>
      <c r="C708" s="29"/>
      <c r="D708" s="29"/>
      <c r="E708" s="29"/>
    </row>
    <row r="709">
      <c r="A709" s="29"/>
      <c r="B709" s="29"/>
      <c r="C709" s="29"/>
      <c r="D709" s="29"/>
      <c r="E709" s="29"/>
    </row>
    <row r="710">
      <c r="A710" s="29"/>
      <c r="B710" s="29"/>
      <c r="C710" s="29"/>
      <c r="D710" s="29"/>
      <c r="E710" s="29"/>
    </row>
    <row r="711">
      <c r="A711" s="29"/>
      <c r="B711" s="29"/>
      <c r="C711" s="29"/>
      <c r="D711" s="29"/>
      <c r="E711" s="29"/>
    </row>
    <row r="712">
      <c r="A712" s="29"/>
      <c r="B712" s="29"/>
      <c r="C712" s="29"/>
      <c r="D712" s="29"/>
      <c r="E712" s="29"/>
    </row>
    <row r="713">
      <c r="A713" s="29"/>
      <c r="B713" s="29"/>
      <c r="C713" s="29"/>
      <c r="D713" s="29"/>
      <c r="E713" s="29"/>
    </row>
    <row r="714">
      <c r="A714" s="29"/>
      <c r="B714" s="29"/>
      <c r="C714" s="29"/>
      <c r="D714" s="29"/>
      <c r="E714" s="29"/>
    </row>
    <row r="715">
      <c r="A715" s="29"/>
      <c r="B715" s="29"/>
      <c r="C715" s="29"/>
      <c r="D715" s="29"/>
      <c r="E715" s="29"/>
    </row>
    <row r="716">
      <c r="A716" s="29"/>
      <c r="B716" s="29"/>
      <c r="C716" s="29"/>
      <c r="D716" s="29"/>
      <c r="E716" s="29"/>
    </row>
    <row r="717">
      <c r="A717" s="29"/>
      <c r="B717" s="29"/>
      <c r="C717" s="29"/>
      <c r="D717" s="29"/>
      <c r="E717" s="29"/>
    </row>
    <row r="718">
      <c r="A718" s="29"/>
      <c r="B718" s="29"/>
      <c r="C718" s="29"/>
      <c r="D718" s="29"/>
      <c r="E718" s="29"/>
    </row>
    <row r="719">
      <c r="A719" s="29"/>
      <c r="B719" s="29"/>
      <c r="C719" s="29"/>
      <c r="D719" s="29"/>
      <c r="E719" s="29"/>
    </row>
    <row r="720">
      <c r="A720" s="29"/>
      <c r="B720" s="29"/>
      <c r="C720" s="29"/>
      <c r="D720" s="29"/>
      <c r="E720" s="29"/>
    </row>
    <row r="721">
      <c r="A721" s="29"/>
      <c r="B721" s="29"/>
      <c r="C721" s="29"/>
      <c r="D721" s="29"/>
      <c r="E721" s="29"/>
    </row>
    <row r="722">
      <c r="A722" s="29"/>
      <c r="B722" s="29"/>
      <c r="C722" s="29"/>
      <c r="D722" s="29"/>
      <c r="E722" s="29"/>
    </row>
    <row r="723">
      <c r="A723" s="29"/>
      <c r="B723" s="29"/>
      <c r="C723" s="29"/>
      <c r="D723" s="29"/>
      <c r="E723" s="29"/>
    </row>
    <row r="724">
      <c r="A724" s="29"/>
      <c r="B724" s="29"/>
      <c r="C724" s="29"/>
      <c r="D724" s="29"/>
      <c r="E724" s="29"/>
    </row>
    <row r="725">
      <c r="A725" s="29"/>
      <c r="B725" s="29"/>
      <c r="C725" s="29"/>
      <c r="D725" s="29"/>
      <c r="E725" s="29"/>
    </row>
    <row r="726">
      <c r="A726" s="29"/>
      <c r="B726" s="29"/>
      <c r="C726" s="29"/>
      <c r="D726" s="29"/>
      <c r="E726" s="29"/>
    </row>
    <row r="727">
      <c r="A727" s="29"/>
      <c r="B727" s="29"/>
      <c r="C727" s="29"/>
      <c r="D727" s="29"/>
      <c r="E727" s="29"/>
    </row>
    <row r="728">
      <c r="A728" s="29"/>
      <c r="B728" s="29"/>
      <c r="C728" s="29"/>
      <c r="D728" s="29"/>
      <c r="E728" s="29"/>
    </row>
    <row r="729">
      <c r="A729" s="29"/>
      <c r="B729" s="29"/>
      <c r="C729" s="29"/>
      <c r="D729" s="29"/>
      <c r="E729" s="29"/>
    </row>
    <row r="730">
      <c r="A730" s="29"/>
      <c r="B730" s="29"/>
      <c r="C730" s="29"/>
      <c r="D730" s="29"/>
      <c r="E730" s="29"/>
    </row>
    <row r="731">
      <c r="A731" s="29"/>
      <c r="B731" s="29"/>
      <c r="C731" s="29"/>
      <c r="D731" s="29"/>
      <c r="E731" s="29"/>
    </row>
    <row r="732">
      <c r="A732" s="29"/>
      <c r="B732" s="29"/>
      <c r="C732" s="29"/>
      <c r="D732" s="29"/>
      <c r="E732" s="29"/>
    </row>
    <row r="733">
      <c r="A733" s="29"/>
      <c r="B733" s="29"/>
      <c r="C733" s="29"/>
      <c r="D733" s="29"/>
      <c r="E733" s="29"/>
    </row>
    <row r="734">
      <c r="A734" s="29"/>
      <c r="B734" s="29"/>
      <c r="C734" s="29"/>
      <c r="D734" s="29"/>
      <c r="E734" s="29"/>
    </row>
    <row r="735">
      <c r="A735" s="29"/>
      <c r="B735" s="29"/>
      <c r="C735" s="29"/>
      <c r="D735" s="29"/>
      <c r="E735" s="29"/>
    </row>
    <row r="736">
      <c r="A736" s="29"/>
      <c r="B736" s="29"/>
      <c r="C736" s="29"/>
      <c r="D736" s="29"/>
      <c r="E736" s="29"/>
    </row>
    <row r="737">
      <c r="A737" s="29"/>
      <c r="B737" s="29"/>
      <c r="C737" s="29"/>
      <c r="D737" s="29"/>
      <c r="E737" s="29"/>
    </row>
    <row r="738">
      <c r="A738" s="29"/>
      <c r="B738" s="29"/>
      <c r="C738" s="29"/>
      <c r="D738" s="29"/>
      <c r="E738" s="29"/>
    </row>
    <row r="739">
      <c r="A739" s="29"/>
      <c r="B739" s="29"/>
      <c r="C739" s="29"/>
      <c r="D739" s="29"/>
      <c r="E739" s="29"/>
    </row>
    <row r="740">
      <c r="A740" s="29"/>
      <c r="B740" s="29"/>
      <c r="C740" s="29"/>
      <c r="D740" s="29"/>
      <c r="E740" s="29"/>
    </row>
    <row r="741">
      <c r="A741" s="29"/>
      <c r="B741" s="29"/>
      <c r="C741" s="29"/>
      <c r="D741" s="29"/>
      <c r="E741" s="29"/>
    </row>
    <row r="742">
      <c r="A742" s="29"/>
      <c r="B742" s="29"/>
      <c r="C742" s="29"/>
      <c r="D742" s="29"/>
      <c r="E742" s="29"/>
    </row>
    <row r="743">
      <c r="A743" s="29"/>
      <c r="B743" s="29"/>
      <c r="C743" s="29"/>
      <c r="D743" s="29"/>
      <c r="E743" s="29"/>
    </row>
    <row r="744">
      <c r="A744" s="29"/>
      <c r="B744" s="29"/>
      <c r="C744" s="29"/>
      <c r="D744" s="29"/>
      <c r="E744" s="29"/>
    </row>
    <row r="745">
      <c r="A745" s="29"/>
      <c r="B745" s="29"/>
      <c r="C745" s="29"/>
      <c r="D745" s="29"/>
      <c r="E745" s="29"/>
    </row>
    <row r="746">
      <c r="A746" s="29"/>
      <c r="B746" s="29"/>
      <c r="C746" s="29"/>
      <c r="D746" s="29"/>
      <c r="E746" s="29"/>
    </row>
    <row r="747">
      <c r="A747" s="29"/>
      <c r="B747" s="29"/>
      <c r="C747" s="29"/>
      <c r="D747" s="29"/>
      <c r="E747" s="29"/>
    </row>
    <row r="748">
      <c r="A748" s="29"/>
      <c r="B748" s="29"/>
      <c r="C748" s="29"/>
      <c r="D748" s="29"/>
      <c r="E748" s="29"/>
    </row>
    <row r="749">
      <c r="A749" s="29"/>
      <c r="B749" s="29"/>
      <c r="C749" s="29"/>
      <c r="D749" s="29"/>
      <c r="E749" s="29"/>
    </row>
    <row r="750">
      <c r="A750" s="29"/>
      <c r="B750" s="29"/>
      <c r="C750" s="29"/>
      <c r="D750" s="29"/>
      <c r="E750" s="29"/>
    </row>
    <row r="751">
      <c r="A751" s="29"/>
      <c r="B751" s="29"/>
      <c r="C751" s="29"/>
      <c r="D751" s="29"/>
      <c r="E751" s="29"/>
    </row>
    <row r="752">
      <c r="A752" s="29"/>
      <c r="B752" s="29"/>
      <c r="C752" s="29"/>
      <c r="D752" s="29"/>
      <c r="E752" s="29"/>
    </row>
    <row r="753">
      <c r="A753" s="29"/>
      <c r="B753" s="29"/>
      <c r="C753" s="29"/>
      <c r="D753" s="29"/>
      <c r="E753" s="29"/>
    </row>
    <row r="754">
      <c r="A754" s="29"/>
      <c r="B754" s="29"/>
      <c r="C754" s="29"/>
      <c r="D754" s="29"/>
      <c r="E754" s="29"/>
    </row>
    <row r="755">
      <c r="A755" s="29"/>
      <c r="B755" s="29"/>
      <c r="C755" s="29"/>
      <c r="D755" s="29"/>
      <c r="E755" s="29"/>
    </row>
    <row r="756">
      <c r="A756" s="29"/>
      <c r="B756" s="29"/>
      <c r="C756" s="29"/>
      <c r="D756" s="29"/>
      <c r="E756" s="29"/>
    </row>
    <row r="757">
      <c r="A757" s="29"/>
      <c r="B757" s="29"/>
      <c r="C757" s="29"/>
      <c r="D757" s="29"/>
      <c r="E757" s="29"/>
    </row>
    <row r="758">
      <c r="A758" s="29"/>
      <c r="B758" s="29"/>
      <c r="C758" s="29"/>
      <c r="D758" s="29"/>
      <c r="E758" s="29"/>
    </row>
    <row r="759">
      <c r="A759" s="29"/>
      <c r="B759" s="29"/>
      <c r="C759" s="29"/>
      <c r="D759" s="29"/>
      <c r="E759" s="29"/>
    </row>
    <row r="760">
      <c r="A760" s="29"/>
      <c r="B760" s="29"/>
      <c r="C760" s="29"/>
      <c r="D760" s="29"/>
      <c r="E760" s="29"/>
    </row>
    <row r="761">
      <c r="A761" s="29"/>
      <c r="B761" s="29"/>
      <c r="C761" s="29"/>
      <c r="D761" s="29"/>
      <c r="E761" s="29"/>
    </row>
    <row r="762">
      <c r="A762" s="29"/>
      <c r="B762" s="29"/>
      <c r="C762" s="29"/>
      <c r="D762" s="29"/>
      <c r="E762" s="29"/>
    </row>
    <row r="763">
      <c r="A763" s="29"/>
      <c r="B763" s="29"/>
      <c r="C763" s="29"/>
      <c r="D763" s="29"/>
      <c r="E763" s="29"/>
    </row>
    <row r="764">
      <c r="A764" s="29"/>
      <c r="B764" s="29"/>
      <c r="C764" s="29"/>
      <c r="D764" s="29"/>
      <c r="E764" s="29"/>
    </row>
    <row r="765">
      <c r="A765" s="29"/>
      <c r="B765" s="29"/>
      <c r="C765" s="29"/>
      <c r="D765" s="29"/>
      <c r="E765" s="29"/>
    </row>
    <row r="766">
      <c r="A766" s="29"/>
      <c r="B766" s="29"/>
      <c r="C766" s="29"/>
      <c r="D766" s="29"/>
      <c r="E766" s="29"/>
    </row>
    <row r="767">
      <c r="A767" s="29"/>
      <c r="B767" s="29"/>
      <c r="C767" s="29"/>
      <c r="D767" s="29"/>
      <c r="E767" s="29"/>
    </row>
    <row r="768">
      <c r="A768" s="29"/>
      <c r="B768" s="29"/>
      <c r="C768" s="29"/>
      <c r="D768" s="29"/>
      <c r="E768" s="29"/>
    </row>
    <row r="769">
      <c r="A769" s="29"/>
      <c r="B769" s="29"/>
      <c r="C769" s="29"/>
      <c r="D769" s="29"/>
      <c r="E769" s="29"/>
    </row>
    <row r="770">
      <c r="A770" s="29"/>
      <c r="B770" s="29"/>
      <c r="C770" s="29"/>
      <c r="D770" s="29"/>
      <c r="E770" s="29"/>
    </row>
    <row r="771">
      <c r="A771" s="29"/>
      <c r="B771" s="29"/>
      <c r="C771" s="29"/>
      <c r="D771" s="29"/>
      <c r="E771" s="29"/>
    </row>
    <row r="772">
      <c r="A772" s="29"/>
      <c r="B772" s="29"/>
      <c r="C772" s="29"/>
      <c r="D772" s="29"/>
      <c r="E772" s="29"/>
    </row>
    <row r="773">
      <c r="A773" s="29"/>
      <c r="B773" s="29"/>
      <c r="C773" s="29"/>
      <c r="D773" s="29"/>
      <c r="E773" s="29"/>
    </row>
    <row r="774">
      <c r="A774" s="29"/>
      <c r="B774" s="29"/>
      <c r="C774" s="29"/>
      <c r="D774" s="29"/>
      <c r="E774" s="29"/>
    </row>
    <row r="775">
      <c r="A775" s="29"/>
      <c r="B775" s="29"/>
      <c r="C775" s="29"/>
      <c r="D775" s="29"/>
      <c r="E775" s="29"/>
    </row>
    <row r="776">
      <c r="A776" s="29"/>
      <c r="B776" s="29"/>
      <c r="C776" s="29"/>
      <c r="D776" s="29"/>
      <c r="E776" s="29"/>
    </row>
    <row r="777">
      <c r="A777" s="29"/>
      <c r="B777" s="29"/>
      <c r="C777" s="29"/>
      <c r="D777" s="29"/>
      <c r="E777" s="29"/>
    </row>
    <row r="778">
      <c r="A778" s="29"/>
      <c r="B778" s="29"/>
      <c r="C778" s="29"/>
      <c r="D778" s="29"/>
      <c r="E778" s="29"/>
    </row>
    <row r="779">
      <c r="A779" s="29"/>
      <c r="B779" s="29"/>
      <c r="C779" s="29"/>
      <c r="D779" s="29"/>
      <c r="E779" s="29"/>
    </row>
    <row r="780">
      <c r="A780" s="29"/>
      <c r="B780" s="29"/>
      <c r="C780" s="29"/>
      <c r="D780" s="29"/>
      <c r="E780" s="29"/>
    </row>
    <row r="781">
      <c r="A781" s="29"/>
      <c r="B781" s="29"/>
      <c r="C781" s="29"/>
      <c r="D781" s="29"/>
      <c r="E781" s="29"/>
    </row>
    <row r="782">
      <c r="A782" s="29"/>
      <c r="B782" s="29"/>
      <c r="C782" s="29"/>
      <c r="D782" s="29"/>
      <c r="E782" s="29"/>
    </row>
    <row r="783">
      <c r="A783" s="29"/>
      <c r="B783" s="29"/>
      <c r="C783" s="29"/>
      <c r="D783" s="29"/>
      <c r="E783" s="29"/>
    </row>
    <row r="784">
      <c r="A784" s="29"/>
      <c r="B784" s="29"/>
      <c r="C784" s="29"/>
      <c r="D784" s="29"/>
      <c r="E784" s="29"/>
    </row>
    <row r="785">
      <c r="A785" s="29"/>
      <c r="B785" s="29"/>
      <c r="C785" s="29"/>
      <c r="D785" s="29"/>
      <c r="E785" s="29"/>
    </row>
    <row r="786">
      <c r="A786" s="29"/>
      <c r="B786" s="29"/>
      <c r="C786" s="29"/>
      <c r="D786" s="29"/>
      <c r="E786" s="29"/>
    </row>
    <row r="787">
      <c r="A787" s="29"/>
      <c r="B787" s="29"/>
      <c r="C787" s="29"/>
      <c r="D787" s="29"/>
      <c r="E787" s="29"/>
    </row>
    <row r="788">
      <c r="A788" s="29"/>
      <c r="B788" s="29"/>
      <c r="C788" s="29"/>
      <c r="D788" s="29"/>
      <c r="E788" s="29"/>
    </row>
    <row r="789">
      <c r="A789" s="29"/>
      <c r="B789" s="29"/>
      <c r="C789" s="29"/>
      <c r="D789" s="29"/>
      <c r="E789" s="29"/>
    </row>
    <row r="790">
      <c r="A790" s="29"/>
      <c r="B790" s="29"/>
      <c r="C790" s="29"/>
      <c r="D790" s="29"/>
      <c r="E790" s="29"/>
    </row>
    <row r="791">
      <c r="A791" s="29"/>
      <c r="B791" s="29"/>
      <c r="C791" s="29"/>
      <c r="D791" s="29"/>
      <c r="E791" s="29"/>
    </row>
    <row r="792">
      <c r="A792" s="29"/>
      <c r="B792" s="29"/>
      <c r="C792" s="29"/>
      <c r="D792" s="29"/>
      <c r="E792" s="29"/>
    </row>
    <row r="793">
      <c r="A793" s="29"/>
      <c r="B793" s="29"/>
      <c r="C793" s="29"/>
      <c r="D793" s="29"/>
      <c r="E793" s="29"/>
    </row>
    <row r="794">
      <c r="A794" s="29"/>
      <c r="B794" s="29"/>
      <c r="C794" s="29"/>
      <c r="D794" s="29"/>
      <c r="E794" s="29"/>
    </row>
    <row r="795">
      <c r="A795" s="29"/>
      <c r="B795" s="29"/>
      <c r="C795" s="29"/>
      <c r="D795" s="29"/>
      <c r="E795" s="29"/>
    </row>
    <row r="796">
      <c r="A796" s="29"/>
      <c r="B796" s="29"/>
      <c r="C796" s="29"/>
      <c r="D796" s="29"/>
      <c r="E796" s="29"/>
    </row>
    <row r="797">
      <c r="A797" s="29"/>
      <c r="B797" s="29"/>
      <c r="C797" s="29"/>
      <c r="D797" s="29"/>
      <c r="E797" s="29"/>
    </row>
    <row r="798">
      <c r="A798" s="29"/>
      <c r="B798" s="29"/>
      <c r="C798" s="29"/>
      <c r="D798" s="29"/>
      <c r="E798" s="29"/>
    </row>
    <row r="799">
      <c r="A799" s="29"/>
      <c r="B799" s="29"/>
      <c r="C799" s="29"/>
      <c r="D799" s="29"/>
      <c r="E799" s="29"/>
    </row>
    <row r="800">
      <c r="A800" s="29"/>
      <c r="B800" s="29"/>
      <c r="C800" s="29"/>
      <c r="D800" s="29"/>
      <c r="E800" s="29"/>
    </row>
    <row r="801">
      <c r="A801" s="29"/>
      <c r="B801" s="29"/>
      <c r="C801" s="29"/>
      <c r="D801" s="29"/>
      <c r="E801" s="29"/>
    </row>
    <row r="802">
      <c r="A802" s="29"/>
      <c r="B802" s="29"/>
      <c r="C802" s="29"/>
      <c r="D802" s="29"/>
      <c r="E802" s="29"/>
    </row>
    <row r="803">
      <c r="A803" s="29"/>
      <c r="B803" s="29"/>
      <c r="C803" s="29"/>
      <c r="D803" s="29"/>
      <c r="E803" s="29"/>
    </row>
    <row r="804">
      <c r="A804" s="29"/>
      <c r="B804" s="29"/>
      <c r="C804" s="29"/>
      <c r="D804" s="29"/>
      <c r="E804" s="29"/>
    </row>
    <row r="805">
      <c r="A805" s="29"/>
      <c r="B805" s="29"/>
      <c r="C805" s="29"/>
      <c r="D805" s="29"/>
      <c r="E805" s="29"/>
    </row>
    <row r="806">
      <c r="A806" s="29"/>
      <c r="B806" s="29"/>
      <c r="C806" s="29"/>
      <c r="D806" s="29"/>
      <c r="E806" s="29"/>
    </row>
    <row r="807">
      <c r="A807" s="29"/>
      <c r="B807" s="29"/>
      <c r="C807" s="29"/>
      <c r="D807" s="29"/>
      <c r="E807" s="29"/>
    </row>
    <row r="808">
      <c r="A808" s="29"/>
      <c r="B808" s="29"/>
      <c r="C808" s="29"/>
      <c r="D808" s="29"/>
      <c r="E808" s="29"/>
    </row>
    <row r="809">
      <c r="A809" s="29"/>
      <c r="B809" s="29"/>
      <c r="C809" s="29"/>
      <c r="D809" s="29"/>
      <c r="E809" s="29"/>
    </row>
    <row r="810">
      <c r="A810" s="29"/>
      <c r="B810" s="29"/>
      <c r="C810" s="29"/>
      <c r="D810" s="29"/>
      <c r="E810" s="29"/>
    </row>
    <row r="811">
      <c r="A811" s="29"/>
      <c r="B811" s="29"/>
      <c r="C811" s="29"/>
      <c r="D811" s="29"/>
      <c r="E811" s="29"/>
    </row>
    <row r="812">
      <c r="A812" s="29"/>
      <c r="B812" s="29"/>
      <c r="C812" s="29"/>
      <c r="D812" s="29"/>
      <c r="E812" s="29"/>
    </row>
    <row r="813">
      <c r="A813" s="29"/>
      <c r="B813" s="29"/>
      <c r="C813" s="29"/>
      <c r="D813" s="29"/>
      <c r="E813" s="29"/>
    </row>
    <row r="814">
      <c r="A814" s="29"/>
      <c r="B814" s="29"/>
      <c r="C814" s="29"/>
      <c r="D814" s="29"/>
      <c r="E814" s="29"/>
    </row>
    <row r="815">
      <c r="A815" s="29"/>
      <c r="B815" s="29"/>
      <c r="C815" s="29"/>
      <c r="D815" s="29"/>
      <c r="E815" s="29"/>
    </row>
    <row r="816">
      <c r="A816" s="29"/>
      <c r="B816" s="29"/>
      <c r="C816" s="29"/>
      <c r="D816" s="29"/>
      <c r="E816" s="29"/>
    </row>
    <row r="817">
      <c r="A817" s="29"/>
      <c r="B817" s="29"/>
      <c r="C817" s="29"/>
      <c r="D817" s="29"/>
      <c r="E817" s="29"/>
    </row>
    <row r="818">
      <c r="A818" s="29"/>
      <c r="B818" s="29"/>
      <c r="C818" s="29"/>
      <c r="D818" s="29"/>
      <c r="E818" s="29"/>
    </row>
    <row r="819">
      <c r="A819" s="29"/>
      <c r="B819" s="29"/>
      <c r="C819" s="29"/>
      <c r="D819" s="29"/>
      <c r="E819" s="29"/>
    </row>
    <row r="820">
      <c r="A820" s="29"/>
      <c r="B820" s="29"/>
      <c r="C820" s="29"/>
      <c r="D820" s="29"/>
      <c r="E820" s="29"/>
    </row>
    <row r="821">
      <c r="A821" s="29"/>
      <c r="B821" s="29"/>
      <c r="C821" s="29"/>
      <c r="D821" s="29"/>
      <c r="E821" s="29"/>
    </row>
    <row r="822">
      <c r="A822" s="29"/>
      <c r="B822" s="29"/>
      <c r="C822" s="29"/>
      <c r="D822" s="29"/>
      <c r="E822" s="29"/>
    </row>
    <row r="823">
      <c r="A823" s="29"/>
      <c r="B823" s="29"/>
      <c r="C823" s="29"/>
      <c r="D823" s="29"/>
      <c r="E823" s="29"/>
    </row>
    <row r="824">
      <c r="A824" s="29"/>
      <c r="B824" s="29"/>
      <c r="C824" s="29"/>
      <c r="D824" s="29"/>
      <c r="E824" s="29"/>
    </row>
    <row r="825">
      <c r="A825" s="29"/>
      <c r="B825" s="29"/>
      <c r="C825" s="29"/>
      <c r="D825" s="29"/>
      <c r="E825" s="29"/>
    </row>
    <row r="826">
      <c r="A826" s="29"/>
      <c r="B826" s="29"/>
      <c r="C826" s="29"/>
      <c r="D826" s="29"/>
      <c r="E826" s="29"/>
    </row>
    <row r="827">
      <c r="A827" s="29"/>
      <c r="B827" s="29"/>
      <c r="C827" s="29"/>
      <c r="D827" s="29"/>
      <c r="E827" s="29"/>
    </row>
    <row r="828">
      <c r="A828" s="29"/>
      <c r="B828" s="29"/>
      <c r="C828" s="29"/>
      <c r="D828" s="29"/>
      <c r="E828" s="29"/>
    </row>
    <row r="829">
      <c r="A829" s="29"/>
      <c r="B829" s="29"/>
      <c r="C829" s="29"/>
      <c r="D829" s="29"/>
      <c r="E829" s="29"/>
    </row>
    <row r="830">
      <c r="A830" s="29"/>
      <c r="B830" s="29"/>
      <c r="C830" s="29"/>
      <c r="D830" s="29"/>
      <c r="E830" s="29"/>
    </row>
    <row r="831">
      <c r="A831" s="29"/>
      <c r="B831" s="29"/>
      <c r="C831" s="29"/>
      <c r="D831" s="29"/>
      <c r="E831" s="29"/>
    </row>
    <row r="832">
      <c r="A832" s="29"/>
      <c r="B832" s="29"/>
      <c r="C832" s="29"/>
      <c r="D832" s="29"/>
      <c r="E832" s="29"/>
    </row>
    <row r="833">
      <c r="A833" s="29"/>
      <c r="B833" s="29"/>
      <c r="C833" s="29"/>
      <c r="D833" s="29"/>
      <c r="E833" s="29"/>
    </row>
    <row r="834">
      <c r="A834" s="29"/>
      <c r="B834" s="29"/>
      <c r="C834" s="29"/>
      <c r="D834" s="29"/>
      <c r="E834" s="29"/>
    </row>
    <row r="835">
      <c r="A835" s="29"/>
      <c r="B835" s="29"/>
      <c r="C835" s="29"/>
      <c r="D835" s="29"/>
      <c r="E835" s="29"/>
    </row>
    <row r="836">
      <c r="A836" s="29"/>
      <c r="B836" s="29"/>
      <c r="C836" s="29"/>
      <c r="D836" s="29"/>
      <c r="E836" s="29"/>
    </row>
    <row r="837">
      <c r="A837" s="29"/>
      <c r="B837" s="29"/>
      <c r="C837" s="29"/>
      <c r="D837" s="29"/>
      <c r="E837" s="29"/>
    </row>
    <row r="838">
      <c r="A838" s="29"/>
      <c r="B838" s="29"/>
      <c r="C838" s="29"/>
      <c r="D838" s="29"/>
      <c r="E838" s="29"/>
    </row>
    <row r="839">
      <c r="A839" s="29"/>
      <c r="B839" s="29"/>
      <c r="C839" s="29"/>
      <c r="D839" s="29"/>
      <c r="E839" s="29"/>
    </row>
    <row r="840">
      <c r="A840" s="29"/>
      <c r="B840" s="29"/>
      <c r="C840" s="29"/>
      <c r="D840" s="29"/>
      <c r="E840" s="29"/>
    </row>
    <row r="841">
      <c r="A841" s="29"/>
      <c r="B841" s="29"/>
      <c r="C841" s="29"/>
      <c r="D841" s="29"/>
      <c r="E841" s="29"/>
    </row>
    <row r="842">
      <c r="A842" s="29"/>
      <c r="B842" s="29"/>
      <c r="C842" s="29"/>
      <c r="D842" s="29"/>
      <c r="E842" s="29"/>
    </row>
    <row r="843">
      <c r="A843" s="29"/>
      <c r="B843" s="29"/>
      <c r="C843" s="29"/>
      <c r="D843" s="29"/>
      <c r="E843" s="29"/>
    </row>
    <row r="844">
      <c r="A844" s="29"/>
      <c r="B844" s="29"/>
      <c r="C844" s="29"/>
      <c r="D844" s="29"/>
      <c r="E844" s="29"/>
    </row>
    <row r="845">
      <c r="A845" s="29"/>
      <c r="B845" s="29"/>
      <c r="C845" s="29"/>
      <c r="D845" s="29"/>
      <c r="E845" s="29"/>
    </row>
    <row r="846">
      <c r="A846" s="29"/>
      <c r="B846" s="29"/>
      <c r="C846" s="29"/>
      <c r="D846" s="29"/>
      <c r="E846" s="29"/>
    </row>
    <row r="847">
      <c r="A847" s="29"/>
      <c r="B847" s="29"/>
      <c r="C847" s="29"/>
      <c r="D847" s="29"/>
      <c r="E847" s="29"/>
    </row>
    <row r="848">
      <c r="A848" s="29"/>
      <c r="B848" s="29"/>
      <c r="C848" s="29"/>
      <c r="D848" s="29"/>
      <c r="E848" s="29"/>
    </row>
    <row r="849">
      <c r="A849" s="29"/>
      <c r="B849" s="29"/>
      <c r="C849" s="29"/>
      <c r="D849" s="29"/>
      <c r="E849" s="29"/>
    </row>
    <row r="850">
      <c r="A850" s="29"/>
      <c r="B850" s="29"/>
      <c r="C850" s="29"/>
      <c r="D850" s="29"/>
      <c r="E850" s="29"/>
    </row>
    <row r="851">
      <c r="A851" s="29"/>
      <c r="B851" s="29"/>
      <c r="C851" s="29"/>
      <c r="D851" s="29"/>
      <c r="E851" s="29"/>
    </row>
    <row r="852">
      <c r="A852" s="29"/>
      <c r="B852" s="29"/>
      <c r="C852" s="29"/>
      <c r="D852" s="29"/>
      <c r="E852" s="29"/>
    </row>
    <row r="853">
      <c r="A853" s="29"/>
      <c r="B853" s="29"/>
      <c r="C853" s="29"/>
      <c r="D853" s="29"/>
      <c r="E853" s="29"/>
    </row>
    <row r="854">
      <c r="A854" s="29"/>
      <c r="B854" s="29"/>
      <c r="C854" s="29"/>
      <c r="D854" s="29"/>
      <c r="E854" s="29"/>
    </row>
    <row r="855">
      <c r="A855" s="29"/>
      <c r="B855" s="29"/>
      <c r="C855" s="29"/>
      <c r="D855" s="29"/>
      <c r="E855" s="29"/>
    </row>
    <row r="856">
      <c r="A856" s="29"/>
      <c r="B856" s="29"/>
      <c r="C856" s="29"/>
      <c r="D856" s="29"/>
      <c r="E856" s="29"/>
    </row>
    <row r="857">
      <c r="A857" s="29"/>
      <c r="B857" s="29"/>
      <c r="C857" s="29"/>
      <c r="D857" s="29"/>
      <c r="E857" s="29"/>
    </row>
    <row r="858">
      <c r="A858" s="29"/>
      <c r="B858" s="29"/>
      <c r="C858" s="29"/>
      <c r="D858" s="29"/>
      <c r="E858" s="29"/>
    </row>
    <row r="859">
      <c r="A859" s="29"/>
      <c r="B859" s="29"/>
      <c r="C859" s="29"/>
      <c r="D859" s="29"/>
      <c r="E859" s="29"/>
    </row>
    <row r="860">
      <c r="A860" s="29"/>
      <c r="B860" s="29"/>
      <c r="C860" s="29"/>
      <c r="D860" s="29"/>
      <c r="E860" s="29"/>
    </row>
    <row r="861">
      <c r="A861" s="29"/>
      <c r="B861" s="29"/>
      <c r="C861" s="29"/>
      <c r="D861" s="29"/>
      <c r="E861" s="29"/>
    </row>
    <row r="862">
      <c r="A862" s="29"/>
      <c r="B862" s="29"/>
      <c r="C862" s="29"/>
      <c r="D862" s="29"/>
      <c r="E862" s="29"/>
    </row>
    <row r="863">
      <c r="A863" s="29"/>
      <c r="B863" s="29"/>
      <c r="C863" s="29"/>
      <c r="D863" s="29"/>
      <c r="E863" s="29"/>
    </row>
    <row r="864">
      <c r="A864" s="29"/>
      <c r="B864" s="29"/>
      <c r="C864" s="29"/>
      <c r="D864" s="29"/>
      <c r="E864" s="29"/>
    </row>
    <row r="865">
      <c r="A865" s="29"/>
      <c r="B865" s="29"/>
      <c r="C865" s="29"/>
      <c r="D865" s="29"/>
      <c r="E865" s="29"/>
    </row>
    <row r="866">
      <c r="A866" s="29"/>
      <c r="B866" s="29"/>
      <c r="C866" s="29"/>
      <c r="D866" s="29"/>
      <c r="E866" s="29"/>
    </row>
    <row r="867">
      <c r="A867" s="29"/>
      <c r="B867" s="29"/>
      <c r="C867" s="29"/>
      <c r="D867" s="29"/>
      <c r="E867" s="29"/>
    </row>
    <row r="868">
      <c r="A868" s="29"/>
      <c r="B868" s="29"/>
      <c r="C868" s="29"/>
      <c r="D868" s="29"/>
      <c r="E868" s="29"/>
    </row>
    <row r="869">
      <c r="A869" s="29"/>
      <c r="B869" s="29"/>
      <c r="C869" s="29"/>
      <c r="D869" s="29"/>
      <c r="E869" s="29"/>
    </row>
    <row r="870">
      <c r="A870" s="29"/>
      <c r="B870" s="29"/>
      <c r="C870" s="29"/>
      <c r="D870" s="29"/>
      <c r="E870" s="29"/>
    </row>
    <row r="871">
      <c r="A871" s="29"/>
      <c r="B871" s="29"/>
      <c r="C871" s="29"/>
      <c r="D871" s="29"/>
      <c r="E871" s="29"/>
    </row>
    <row r="872">
      <c r="A872" s="29"/>
      <c r="B872" s="29"/>
      <c r="C872" s="29"/>
      <c r="D872" s="29"/>
      <c r="E872" s="29"/>
    </row>
    <row r="873">
      <c r="A873" s="29"/>
      <c r="B873" s="29"/>
      <c r="C873" s="29"/>
      <c r="D873" s="29"/>
      <c r="E873" s="29"/>
    </row>
    <row r="874">
      <c r="A874" s="29"/>
      <c r="B874" s="29"/>
      <c r="C874" s="29"/>
      <c r="D874" s="29"/>
      <c r="E874" s="29"/>
    </row>
    <row r="875">
      <c r="A875" s="29"/>
      <c r="B875" s="29"/>
      <c r="C875" s="29"/>
      <c r="D875" s="29"/>
      <c r="E875" s="29"/>
    </row>
    <row r="876">
      <c r="A876" s="29"/>
      <c r="B876" s="29"/>
      <c r="C876" s="29"/>
      <c r="D876" s="29"/>
      <c r="E876" s="29"/>
    </row>
    <row r="877">
      <c r="A877" s="29"/>
      <c r="B877" s="29"/>
      <c r="C877" s="29"/>
      <c r="D877" s="29"/>
      <c r="E877" s="29"/>
    </row>
    <row r="878">
      <c r="A878" s="29"/>
      <c r="B878" s="29"/>
      <c r="C878" s="29"/>
      <c r="D878" s="29"/>
      <c r="E878" s="29"/>
    </row>
    <row r="879">
      <c r="A879" s="29"/>
      <c r="B879" s="29"/>
      <c r="C879" s="29"/>
      <c r="D879" s="29"/>
      <c r="E879" s="29"/>
    </row>
    <row r="880">
      <c r="A880" s="29"/>
      <c r="B880" s="29"/>
      <c r="C880" s="29"/>
      <c r="D880" s="29"/>
      <c r="E880" s="29"/>
    </row>
    <row r="881">
      <c r="A881" s="29"/>
      <c r="B881" s="29"/>
      <c r="C881" s="29"/>
      <c r="D881" s="29"/>
      <c r="E881" s="29"/>
    </row>
    <row r="882">
      <c r="A882" s="29"/>
      <c r="B882" s="29"/>
      <c r="C882" s="29"/>
      <c r="D882" s="29"/>
      <c r="E882" s="29"/>
    </row>
    <row r="883">
      <c r="A883" s="29"/>
      <c r="B883" s="29"/>
      <c r="C883" s="29"/>
      <c r="D883" s="29"/>
      <c r="E883" s="29"/>
    </row>
    <row r="884">
      <c r="A884" s="29"/>
      <c r="B884" s="29"/>
      <c r="C884" s="29"/>
      <c r="D884" s="29"/>
      <c r="E884" s="29"/>
    </row>
    <row r="885">
      <c r="A885" s="29"/>
      <c r="B885" s="29"/>
      <c r="C885" s="29"/>
      <c r="D885" s="29"/>
      <c r="E885" s="29"/>
    </row>
    <row r="886">
      <c r="A886" s="29"/>
      <c r="B886" s="29"/>
      <c r="C886" s="29"/>
      <c r="D886" s="29"/>
      <c r="E886" s="29"/>
    </row>
    <row r="887">
      <c r="A887" s="29"/>
      <c r="B887" s="29"/>
      <c r="C887" s="29"/>
      <c r="D887" s="29"/>
      <c r="E887" s="29"/>
    </row>
    <row r="888">
      <c r="A888" s="29"/>
      <c r="B888" s="29"/>
      <c r="C888" s="29"/>
      <c r="D888" s="29"/>
      <c r="E888" s="29"/>
    </row>
    <row r="889">
      <c r="A889" s="29"/>
      <c r="B889" s="29"/>
      <c r="C889" s="29"/>
      <c r="D889" s="29"/>
      <c r="E889" s="29"/>
    </row>
    <row r="890">
      <c r="A890" s="29"/>
      <c r="B890" s="29"/>
      <c r="C890" s="29"/>
      <c r="D890" s="29"/>
      <c r="E890" s="29"/>
    </row>
    <row r="891">
      <c r="A891" s="29"/>
      <c r="B891" s="29"/>
      <c r="C891" s="29"/>
      <c r="D891" s="29"/>
      <c r="E891" s="29"/>
    </row>
    <row r="892">
      <c r="A892" s="29"/>
      <c r="B892" s="29"/>
      <c r="C892" s="29"/>
      <c r="D892" s="29"/>
      <c r="E892" s="29"/>
    </row>
    <row r="893">
      <c r="A893" s="29"/>
      <c r="B893" s="29"/>
      <c r="C893" s="29"/>
      <c r="D893" s="29"/>
      <c r="E893" s="29"/>
    </row>
    <row r="894">
      <c r="A894" s="29"/>
      <c r="B894" s="29"/>
      <c r="C894" s="29"/>
      <c r="D894" s="29"/>
      <c r="E894" s="29"/>
    </row>
    <row r="895">
      <c r="A895" s="29"/>
      <c r="B895" s="29"/>
      <c r="C895" s="29"/>
      <c r="D895" s="29"/>
      <c r="E895" s="29"/>
    </row>
    <row r="896">
      <c r="A896" s="29"/>
      <c r="B896" s="29"/>
      <c r="C896" s="29"/>
      <c r="D896" s="29"/>
      <c r="E896" s="29"/>
    </row>
    <row r="897">
      <c r="A897" s="29"/>
      <c r="B897" s="29"/>
      <c r="C897" s="29"/>
      <c r="D897" s="29"/>
      <c r="E897" s="29"/>
    </row>
    <row r="898">
      <c r="A898" s="29"/>
      <c r="B898" s="29"/>
      <c r="C898" s="29"/>
      <c r="D898" s="29"/>
      <c r="E898" s="29"/>
    </row>
    <row r="899">
      <c r="A899" s="29"/>
      <c r="B899" s="29"/>
      <c r="C899" s="29"/>
      <c r="D899" s="29"/>
      <c r="E899" s="29"/>
    </row>
    <row r="900">
      <c r="A900" s="29"/>
      <c r="B900" s="29"/>
      <c r="C900" s="29"/>
      <c r="D900" s="29"/>
      <c r="E900" s="29"/>
    </row>
    <row r="901">
      <c r="A901" s="29"/>
      <c r="B901" s="29"/>
      <c r="C901" s="29"/>
      <c r="D901" s="29"/>
      <c r="E901" s="29"/>
    </row>
    <row r="902">
      <c r="A902" s="29"/>
      <c r="B902" s="29"/>
      <c r="C902" s="29"/>
      <c r="D902" s="29"/>
      <c r="E902" s="29"/>
    </row>
    <row r="903">
      <c r="A903" s="29"/>
      <c r="B903" s="29"/>
      <c r="C903" s="29"/>
      <c r="D903" s="29"/>
      <c r="E903" s="29"/>
    </row>
    <row r="904">
      <c r="A904" s="29"/>
      <c r="B904" s="29"/>
      <c r="C904" s="29"/>
      <c r="D904" s="29"/>
      <c r="E904" s="29"/>
    </row>
    <row r="905">
      <c r="A905" s="29"/>
      <c r="B905" s="29"/>
      <c r="C905" s="29"/>
      <c r="D905" s="29"/>
      <c r="E905" s="29"/>
    </row>
    <row r="906">
      <c r="A906" s="29"/>
      <c r="B906" s="29"/>
      <c r="C906" s="29"/>
      <c r="D906" s="29"/>
      <c r="E906" s="29"/>
    </row>
    <row r="907">
      <c r="A907" s="29"/>
      <c r="B907" s="29"/>
      <c r="C907" s="29"/>
      <c r="D907" s="29"/>
      <c r="E907" s="29"/>
    </row>
    <row r="908">
      <c r="A908" s="29"/>
      <c r="B908" s="29"/>
      <c r="C908" s="29"/>
      <c r="D908" s="29"/>
      <c r="E908" s="29"/>
    </row>
    <row r="909">
      <c r="A909" s="29"/>
      <c r="B909" s="29"/>
      <c r="C909" s="29"/>
      <c r="D909" s="29"/>
      <c r="E909" s="29"/>
    </row>
    <row r="910">
      <c r="A910" s="29"/>
      <c r="B910" s="29"/>
      <c r="C910" s="29"/>
      <c r="D910" s="29"/>
      <c r="E910" s="29"/>
    </row>
    <row r="911">
      <c r="A911" s="29"/>
      <c r="B911" s="29"/>
      <c r="C911" s="29"/>
      <c r="D911" s="29"/>
      <c r="E911" s="29"/>
    </row>
    <row r="912">
      <c r="A912" s="29"/>
      <c r="B912" s="29"/>
      <c r="C912" s="29"/>
      <c r="D912" s="29"/>
      <c r="E912" s="29"/>
    </row>
    <row r="913">
      <c r="A913" s="29"/>
      <c r="B913" s="29"/>
      <c r="C913" s="29"/>
      <c r="D913" s="29"/>
      <c r="E913" s="29"/>
    </row>
    <row r="914">
      <c r="A914" s="29"/>
      <c r="B914" s="29"/>
      <c r="C914" s="29"/>
      <c r="D914" s="29"/>
      <c r="E914" s="29"/>
    </row>
    <row r="915">
      <c r="A915" s="29"/>
      <c r="B915" s="29"/>
      <c r="C915" s="29"/>
      <c r="D915" s="29"/>
      <c r="E915" s="29"/>
    </row>
    <row r="916">
      <c r="A916" s="29"/>
      <c r="B916" s="29"/>
      <c r="C916" s="29"/>
      <c r="D916" s="29"/>
      <c r="E916" s="29"/>
    </row>
    <row r="917">
      <c r="A917" s="29"/>
      <c r="B917" s="29"/>
      <c r="C917" s="29"/>
      <c r="D917" s="29"/>
      <c r="E917" s="29"/>
    </row>
    <row r="918">
      <c r="A918" s="29"/>
      <c r="B918" s="29"/>
      <c r="C918" s="29"/>
      <c r="D918" s="29"/>
      <c r="E918" s="29"/>
    </row>
    <row r="919">
      <c r="A919" s="29"/>
      <c r="B919" s="29"/>
      <c r="C919" s="29"/>
      <c r="D919" s="29"/>
      <c r="E919" s="29"/>
    </row>
    <row r="920">
      <c r="A920" s="29"/>
      <c r="B920" s="29"/>
      <c r="C920" s="29"/>
      <c r="D920" s="29"/>
      <c r="E920" s="29"/>
    </row>
    <row r="921">
      <c r="A921" s="29"/>
      <c r="B921" s="29"/>
      <c r="C921" s="29"/>
      <c r="D921" s="29"/>
      <c r="E921" s="29"/>
    </row>
    <row r="922">
      <c r="A922" s="29"/>
      <c r="B922" s="29"/>
      <c r="C922" s="29"/>
      <c r="D922" s="29"/>
      <c r="E922" s="29"/>
    </row>
    <row r="923">
      <c r="A923" s="29"/>
      <c r="B923" s="29"/>
      <c r="C923" s="29"/>
      <c r="D923" s="29"/>
      <c r="E923" s="29"/>
    </row>
    <row r="924">
      <c r="A924" s="29"/>
      <c r="B924" s="29"/>
      <c r="C924" s="29"/>
      <c r="D924" s="29"/>
      <c r="E924" s="29"/>
    </row>
    <row r="925">
      <c r="A925" s="29"/>
      <c r="B925" s="29"/>
      <c r="C925" s="29"/>
      <c r="D925" s="29"/>
      <c r="E925" s="29"/>
    </row>
    <row r="926">
      <c r="A926" s="29"/>
      <c r="B926" s="29"/>
      <c r="C926" s="29"/>
      <c r="D926" s="29"/>
      <c r="E926" s="29"/>
    </row>
    <row r="927">
      <c r="A927" s="29"/>
      <c r="B927" s="29"/>
      <c r="C927" s="29"/>
      <c r="D927" s="29"/>
      <c r="E927" s="29"/>
    </row>
    <row r="928">
      <c r="A928" s="29"/>
      <c r="B928" s="29"/>
      <c r="C928" s="29"/>
      <c r="D928" s="29"/>
      <c r="E928" s="29"/>
    </row>
    <row r="929">
      <c r="A929" s="29"/>
      <c r="B929" s="29"/>
      <c r="C929" s="29"/>
      <c r="D929" s="29"/>
      <c r="E929" s="29"/>
    </row>
    <row r="930">
      <c r="A930" s="29"/>
      <c r="B930" s="29"/>
      <c r="C930" s="29"/>
      <c r="D930" s="29"/>
      <c r="E930" s="29"/>
    </row>
    <row r="931">
      <c r="A931" s="29"/>
      <c r="B931" s="29"/>
      <c r="C931" s="29"/>
      <c r="D931" s="29"/>
      <c r="E931" s="29"/>
    </row>
    <row r="932">
      <c r="A932" s="29"/>
      <c r="B932" s="29"/>
      <c r="C932" s="29"/>
      <c r="D932" s="29"/>
      <c r="E932" s="29"/>
    </row>
    <row r="933">
      <c r="A933" s="29"/>
      <c r="B933" s="29"/>
      <c r="C933" s="29"/>
      <c r="D933" s="29"/>
      <c r="E933" s="29"/>
    </row>
    <row r="934">
      <c r="A934" s="29"/>
      <c r="B934" s="29"/>
      <c r="C934" s="29"/>
      <c r="D934" s="29"/>
      <c r="E934" s="29"/>
    </row>
    <row r="935">
      <c r="A935" s="29"/>
      <c r="B935" s="29"/>
      <c r="C935" s="29"/>
      <c r="D935" s="29"/>
      <c r="E935" s="29"/>
    </row>
    <row r="936">
      <c r="A936" s="29"/>
      <c r="B936" s="29"/>
      <c r="C936" s="29"/>
      <c r="D936" s="29"/>
      <c r="E936" s="29"/>
    </row>
    <row r="937">
      <c r="A937" s="29"/>
      <c r="B937" s="29"/>
      <c r="C937" s="29"/>
      <c r="D937" s="29"/>
      <c r="E937" s="29"/>
    </row>
    <row r="938">
      <c r="A938" s="29"/>
      <c r="B938" s="29"/>
      <c r="C938" s="29"/>
      <c r="D938" s="29"/>
      <c r="E938" s="29"/>
    </row>
    <row r="939">
      <c r="A939" s="29"/>
      <c r="B939" s="29"/>
      <c r="C939" s="29"/>
      <c r="D939" s="29"/>
      <c r="E939" s="29"/>
    </row>
    <row r="940">
      <c r="A940" s="29"/>
      <c r="B940" s="29"/>
      <c r="C940" s="29"/>
      <c r="D940" s="29"/>
      <c r="E940" s="29"/>
    </row>
    <row r="941">
      <c r="A941" s="29"/>
      <c r="B941" s="29"/>
      <c r="C941" s="29"/>
      <c r="D941" s="29"/>
      <c r="E941" s="29"/>
    </row>
    <row r="942">
      <c r="A942" s="29"/>
      <c r="B942" s="29"/>
      <c r="C942" s="29"/>
      <c r="D942" s="29"/>
      <c r="E942" s="29"/>
    </row>
    <row r="943">
      <c r="A943" s="29"/>
      <c r="B943" s="29"/>
      <c r="C943" s="29"/>
      <c r="D943" s="29"/>
      <c r="E943" s="29"/>
    </row>
    <row r="944">
      <c r="A944" s="29"/>
      <c r="B944" s="29"/>
      <c r="C944" s="29"/>
      <c r="D944" s="29"/>
      <c r="E944" s="29"/>
    </row>
    <row r="945">
      <c r="A945" s="29"/>
      <c r="B945" s="29"/>
      <c r="C945" s="29"/>
      <c r="D945" s="29"/>
      <c r="E945" s="29"/>
    </row>
    <row r="946">
      <c r="A946" s="29"/>
      <c r="B946" s="29"/>
      <c r="C946" s="29"/>
      <c r="D946" s="29"/>
      <c r="E946" s="29"/>
    </row>
    <row r="947">
      <c r="A947" s="29"/>
      <c r="B947" s="29"/>
      <c r="C947" s="29"/>
      <c r="D947" s="29"/>
      <c r="E947" s="29"/>
    </row>
    <row r="948">
      <c r="A948" s="29"/>
      <c r="B948" s="29"/>
      <c r="C948" s="29"/>
      <c r="D948" s="29"/>
      <c r="E948" s="29"/>
    </row>
    <row r="949">
      <c r="A949" s="29"/>
      <c r="B949" s="29"/>
      <c r="C949" s="29"/>
      <c r="D949" s="29"/>
      <c r="E949" s="29"/>
    </row>
    <row r="950">
      <c r="A950" s="29"/>
      <c r="B950" s="29"/>
      <c r="C950" s="29"/>
      <c r="D950" s="29"/>
      <c r="E950" s="29"/>
    </row>
    <row r="951">
      <c r="A951" s="29"/>
      <c r="B951" s="29"/>
      <c r="C951" s="29"/>
      <c r="D951" s="29"/>
      <c r="E951" s="29"/>
    </row>
    <row r="952">
      <c r="A952" s="29"/>
      <c r="B952" s="29"/>
      <c r="C952" s="29"/>
      <c r="D952" s="29"/>
      <c r="E952" s="29"/>
    </row>
    <row r="953">
      <c r="A953" s="29"/>
      <c r="B953" s="29"/>
      <c r="C953" s="29"/>
      <c r="D953" s="29"/>
      <c r="E953" s="29"/>
    </row>
    <row r="954">
      <c r="A954" s="29"/>
      <c r="B954" s="29"/>
      <c r="C954" s="29"/>
      <c r="D954" s="29"/>
      <c r="E954" s="29"/>
    </row>
    <row r="955">
      <c r="A955" s="29"/>
      <c r="B955" s="29"/>
      <c r="C955" s="29"/>
      <c r="D955" s="29"/>
      <c r="E955" s="29"/>
    </row>
    <row r="956">
      <c r="A956" s="29"/>
      <c r="B956" s="29"/>
      <c r="C956" s="29"/>
      <c r="D956" s="29"/>
      <c r="E956" s="29"/>
    </row>
  </sheetData>
  <mergeCells count="5">
    <mergeCell ref="A1:A44"/>
    <mergeCell ref="B1:D1"/>
    <mergeCell ref="B23:D23"/>
    <mergeCell ref="B45:D45"/>
    <mergeCell ref="B67:D67"/>
  </mergeCells>
  <drawing r:id="rId1"/>
</worksheet>
</file>